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TATISTICS\SCR\DBA\DBA Domestic Banking Activity -DBA\DBA - Website - Statement of Assets &amp; Liabilities\Statement of Assets &amp; Liab - A Non-Retail Banks\2026\"/>
    </mc:Choice>
  </mc:AlternateContent>
  <xr:revisionPtr revIDLastSave="0" documentId="13_ncr:1_{75E04A26-7424-4BE3-861C-B4A4F33D5B58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2020-2026" sheetId="3" r:id="rId1"/>
    <sheet name="2007-2019" sheetId="4" r:id="rId2"/>
  </sheets>
  <definedNames>
    <definedName name="_xlnm._FilterDatabase" localSheetId="0" hidden="1">'2020-2026'!$A$108:$Y$116</definedName>
    <definedName name="_xlnm.Print_Area" localSheetId="1">'2007-2019'!$A$1:$U$145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9" i="3" l="1"/>
  <c r="AA8" i="3" s="1"/>
  <c r="Z9" i="3"/>
  <c r="AA80" i="3"/>
  <c r="AA68" i="3"/>
  <c r="AA63" i="3"/>
  <c r="AA59" i="3"/>
  <c r="AA38" i="3"/>
  <c r="AA21" i="3"/>
  <c r="AA14" i="3"/>
  <c r="AA22" i="3"/>
  <c r="AA31" i="3"/>
  <c r="AA39" i="3"/>
  <c r="AA46" i="3"/>
  <c r="AA64" i="3"/>
  <c r="AA74" i="3"/>
  <c r="AA98" i="3"/>
  <c r="AA108" i="3"/>
  <c r="AA118" i="3"/>
  <c r="AA128" i="3"/>
  <c r="AA95" i="3" s="1"/>
  <c r="AA56" i="3" l="1"/>
  <c r="AA55" i="3" s="1"/>
  <c r="AA89" i="3" s="1"/>
  <c r="AA94" i="3"/>
  <c r="AA96" i="3" s="1"/>
  <c r="AA137" i="3"/>
  <c r="AA139" i="3" s="1"/>
  <c r="Z103" i="3" l="1"/>
  <c r="Z98" i="3" s="1"/>
  <c r="Z14" i="3"/>
  <c r="Z22" i="3"/>
  <c r="Z31" i="3"/>
  <c r="Z39" i="3"/>
  <c r="Z46" i="3"/>
  <c r="Z59" i="3"/>
  <c r="Z64" i="3"/>
  <c r="Z68" i="3"/>
  <c r="Z74" i="3"/>
  <c r="Z80" i="3"/>
  <c r="Z88" i="3"/>
  <c r="Z108" i="3"/>
  <c r="Z118" i="3"/>
  <c r="Z128" i="3"/>
  <c r="Y138" i="3"/>
  <c r="Y136" i="3"/>
  <c r="Y88" i="3"/>
  <c r="Y10" i="3"/>
  <c r="Y9" i="3"/>
  <c r="Y14" i="3"/>
  <c r="Y22" i="3"/>
  <c r="Y31" i="3"/>
  <c r="Y39" i="3"/>
  <c r="Y46" i="3"/>
  <c r="Y59" i="3"/>
  <c r="Y64" i="3"/>
  <c r="Y68" i="3"/>
  <c r="Y74" i="3"/>
  <c r="Y80" i="3"/>
  <c r="Y98" i="3"/>
  <c r="Y108" i="3"/>
  <c r="Y118" i="3"/>
  <c r="Y128" i="3"/>
  <c r="Y95" i="3" s="1"/>
  <c r="X59" i="3"/>
  <c r="Z137" i="3" l="1"/>
  <c r="Z139" i="3" s="1"/>
  <c r="Z94" i="3"/>
  <c r="Z63" i="3"/>
  <c r="Z38" i="3"/>
  <c r="Z21" i="3"/>
  <c r="Z8" i="3"/>
  <c r="Z56" i="3"/>
  <c r="Z55" i="3" s="1"/>
  <c r="Z95" i="3"/>
  <c r="Y137" i="3"/>
  <c r="Y139" i="3" s="1"/>
  <c r="Y63" i="3"/>
  <c r="Y56" i="3" s="1"/>
  <c r="Y55" i="3" s="1"/>
  <c r="Y94" i="3"/>
  <c r="Y96" i="3" s="1"/>
  <c r="Y38" i="3"/>
  <c r="Y21" i="3"/>
  <c r="Y8" i="3"/>
  <c r="X138" i="3"/>
  <c r="X136" i="3"/>
  <c r="X68" i="3"/>
  <c r="X88" i="3"/>
  <c r="Z89" i="3" l="1"/>
  <c r="Z96" i="3"/>
  <c r="Y89" i="3"/>
  <c r="X10" i="3"/>
  <c r="X9" i="3"/>
  <c r="X14" i="3"/>
  <c r="X22" i="3"/>
  <c r="X31" i="3"/>
  <c r="X39" i="3"/>
  <c r="X46" i="3"/>
  <c r="X64" i="3"/>
  <c r="X74" i="3"/>
  <c r="X80" i="3"/>
  <c r="X98" i="3"/>
  <c r="X108" i="3"/>
  <c r="X118" i="3"/>
  <c r="X128" i="3"/>
  <c r="W10" i="3"/>
  <c r="X21" i="3" l="1"/>
  <c r="X8" i="3"/>
  <c r="X38" i="3"/>
  <c r="X63" i="3"/>
  <c r="X56" i="3" s="1"/>
  <c r="X94" i="3"/>
  <c r="X137" i="3"/>
  <c r="X95" i="3"/>
  <c r="W138" i="3"/>
  <c r="W136" i="3"/>
  <c r="W88" i="3"/>
  <c r="W9" i="3"/>
  <c r="W14" i="3"/>
  <c r="W22" i="3"/>
  <c r="W31" i="3"/>
  <c r="W39" i="3"/>
  <c r="W46" i="3"/>
  <c r="W59" i="3"/>
  <c r="W64" i="3"/>
  <c r="W68" i="3"/>
  <c r="W74" i="3"/>
  <c r="W80" i="3"/>
  <c r="W98" i="3"/>
  <c r="W108" i="3"/>
  <c r="W118" i="3"/>
  <c r="W128" i="3"/>
  <c r="W95" i="3" s="1"/>
  <c r="V138" i="3"/>
  <c r="V136" i="3"/>
  <c r="V88" i="3"/>
  <c r="V10" i="3"/>
  <c r="V9" i="3" s="1"/>
  <c r="V14" i="3"/>
  <c r="V22" i="3"/>
  <c r="V31" i="3"/>
  <c r="V39" i="3"/>
  <c r="V46" i="3"/>
  <c r="V59" i="3"/>
  <c r="V64" i="3"/>
  <c r="V68" i="3"/>
  <c r="V74" i="3"/>
  <c r="V80" i="3"/>
  <c r="V98" i="3"/>
  <c r="V108" i="3"/>
  <c r="V118" i="3"/>
  <c r="V128" i="3"/>
  <c r="U138" i="3"/>
  <c r="U136" i="3"/>
  <c r="U88" i="3"/>
  <c r="U10" i="3"/>
  <c r="W21" i="3" l="1"/>
  <c r="X139" i="3"/>
  <c r="X55" i="3"/>
  <c r="X89" i="3" s="1"/>
  <c r="X96" i="3"/>
  <c r="W94" i="3"/>
  <c r="W96" i="3" s="1"/>
  <c r="W137" i="3"/>
  <c r="W139" i="3" s="1"/>
  <c r="W63" i="3"/>
  <c r="W38" i="3"/>
  <c r="W8" i="3"/>
  <c r="W56" i="3"/>
  <c r="W55" i="3" s="1"/>
  <c r="V94" i="3"/>
  <c r="V137" i="3"/>
  <c r="V139" i="3" s="1"/>
  <c r="V63" i="3"/>
  <c r="V56" i="3" s="1"/>
  <c r="V55" i="3" s="1"/>
  <c r="V38" i="3"/>
  <c r="V21" i="3"/>
  <c r="V8" i="3"/>
  <c r="V95" i="3"/>
  <c r="U9" i="3"/>
  <c r="U14" i="3"/>
  <c r="U22" i="3"/>
  <c r="U31" i="3"/>
  <c r="U39" i="3"/>
  <c r="U46" i="3"/>
  <c r="U59" i="3"/>
  <c r="U64" i="3"/>
  <c r="U68" i="3"/>
  <c r="U74" i="3"/>
  <c r="U80" i="3"/>
  <c r="U98" i="3"/>
  <c r="U108" i="3"/>
  <c r="U118" i="3"/>
  <c r="U128" i="3"/>
  <c r="U95" i="3" s="1"/>
  <c r="T88" i="3"/>
  <c r="T138" i="3"/>
  <c r="T136" i="3"/>
  <c r="T9" i="3"/>
  <c r="T14" i="3"/>
  <c r="T22" i="3"/>
  <c r="T31" i="3"/>
  <c r="T21" i="3" s="1"/>
  <c r="T39" i="3"/>
  <c r="T46" i="3"/>
  <c r="T59" i="3"/>
  <c r="T64" i="3"/>
  <c r="T68" i="3"/>
  <c r="T74" i="3"/>
  <c r="T80" i="3"/>
  <c r="T98" i="3"/>
  <c r="T108" i="3"/>
  <c r="T118" i="3"/>
  <c r="T128" i="3"/>
  <c r="T95" i="3" s="1"/>
  <c r="W89" i="3" l="1"/>
  <c r="V96" i="3"/>
  <c r="V89" i="3"/>
  <c r="U8" i="3"/>
  <c r="U21" i="3"/>
  <c r="U38" i="3"/>
  <c r="U63" i="3"/>
  <c r="U56" i="3" s="1"/>
  <c r="U55" i="3" s="1"/>
  <c r="U94" i="3"/>
  <c r="U137" i="3"/>
  <c r="U139" i="3" s="1"/>
  <c r="T137" i="3"/>
  <c r="T139" i="3" s="1"/>
  <c r="T94" i="3"/>
  <c r="T96" i="3" s="1"/>
  <c r="T63" i="3"/>
  <c r="T56" i="3" s="1"/>
  <c r="T55" i="3" s="1"/>
  <c r="T38" i="3"/>
  <c r="T8" i="3"/>
  <c r="U96" i="3" l="1"/>
  <c r="U89" i="3"/>
  <c r="T89" i="3"/>
  <c r="S138" i="3"/>
  <c r="S136" i="3"/>
  <c r="S88" i="3"/>
  <c r="Z126" i="4"/>
  <c r="Z116" i="4"/>
  <c r="Z106" i="4"/>
  <c r="Z96" i="4"/>
  <c r="Z93" i="4"/>
  <c r="Z78" i="4"/>
  <c r="Z72" i="4"/>
  <c r="Z66" i="4"/>
  <c r="Z62" i="4"/>
  <c r="Z57" i="4"/>
  <c r="Z46" i="4"/>
  <c r="Z39" i="4"/>
  <c r="Z38" i="4" s="1"/>
  <c r="Z31" i="4"/>
  <c r="Z21" i="4" s="1"/>
  <c r="Z22" i="4"/>
  <c r="Z14" i="4"/>
  <c r="Z9" i="4"/>
  <c r="Z8" i="4" s="1"/>
  <c r="Y126" i="4"/>
  <c r="Y116" i="4"/>
  <c r="Y106" i="4"/>
  <c r="Y96" i="4"/>
  <c r="Y93" i="4"/>
  <c r="Y78" i="4"/>
  <c r="Y72" i="4"/>
  <c r="Y66" i="4"/>
  <c r="Y62" i="4"/>
  <c r="Y61" i="4"/>
  <c r="Y54" i="4"/>
  <c r="Y53" i="4"/>
  <c r="Y87" i="4" s="1"/>
  <c r="Y46" i="4"/>
  <c r="Y39" i="4"/>
  <c r="Y31" i="4"/>
  <c r="Y22" i="4"/>
  <c r="Y14" i="4"/>
  <c r="Y11" i="4"/>
  <c r="Y9" i="4" s="1"/>
  <c r="Y8" i="4" s="1"/>
  <c r="Y10" i="4"/>
  <c r="S9" i="3"/>
  <c r="S14" i="3"/>
  <c r="S22" i="3"/>
  <c r="S31" i="3"/>
  <c r="S39" i="3"/>
  <c r="S46" i="3"/>
  <c r="S59" i="3"/>
  <c r="S64" i="3"/>
  <c r="S68" i="3"/>
  <c r="S63" i="3" s="1"/>
  <c r="S74" i="3"/>
  <c r="S80" i="3"/>
  <c r="S98" i="3"/>
  <c r="S108" i="3"/>
  <c r="S118" i="3"/>
  <c r="S128" i="3"/>
  <c r="S95" i="3" s="1"/>
  <c r="R138" i="3"/>
  <c r="R136" i="3"/>
  <c r="R88" i="3"/>
  <c r="R9" i="3"/>
  <c r="R14" i="3"/>
  <c r="R22" i="3"/>
  <c r="R31" i="3"/>
  <c r="R39" i="3"/>
  <c r="R46" i="3"/>
  <c r="R59" i="3"/>
  <c r="R64" i="3"/>
  <c r="R68" i="3"/>
  <c r="R74" i="3"/>
  <c r="R80" i="3"/>
  <c r="R98" i="3"/>
  <c r="R108" i="3"/>
  <c r="R118" i="3"/>
  <c r="R128" i="3"/>
  <c r="Q138" i="3"/>
  <c r="Q136" i="3"/>
  <c r="Q88" i="3"/>
  <c r="S8" i="3" l="1"/>
  <c r="S56" i="3"/>
  <c r="S55" i="3" s="1"/>
  <c r="S38" i="3"/>
  <c r="S21" i="3"/>
  <c r="S94" i="3"/>
  <c r="S96" i="3" s="1"/>
  <c r="R21" i="3"/>
  <c r="Y92" i="4"/>
  <c r="Y94" i="4" s="1"/>
  <c r="Z92" i="4"/>
  <c r="Z94" i="4" s="1"/>
  <c r="Y135" i="4"/>
  <c r="Y137" i="4" s="1"/>
  <c r="Z135" i="4"/>
  <c r="Z137" i="4" s="1"/>
  <c r="Y21" i="4"/>
  <c r="Y38" i="4"/>
  <c r="Z61" i="4"/>
  <c r="Z54" i="4" s="1"/>
  <c r="Z53" i="4" s="1"/>
  <c r="Z87" i="4" s="1"/>
  <c r="S137" i="3"/>
  <c r="S139" i="3" s="1"/>
  <c r="R137" i="3"/>
  <c r="R139" i="3" s="1"/>
  <c r="R94" i="3"/>
  <c r="R63" i="3"/>
  <c r="R56" i="3" s="1"/>
  <c r="R55" i="3" s="1"/>
  <c r="R38" i="3"/>
  <c r="R8" i="3"/>
  <c r="R95" i="3"/>
  <c r="Q9" i="3"/>
  <c r="Q14" i="3"/>
  <c r="Q22" i="3"/>
  <c r="Q31" i="3"/>
  <c r="Q39" i="3"/>
  <c r="Q46" i="3"/>
  <c r="Q59" i="3"/>
  <c r="Q64" i="3"/>
  <c r="Q68" i="3"/>
  <c r="Q74" i="3"/>
  <c r="Q80" i="3"/>
  <c r="Q98" i="3"/>
  <c r="Q108" i="3"/>
  <c r="Q118" i="3"/>
  <c r="Q128" i="3"/>
  <c r="P138" i="3"/>
  <c r="P136" i="3"/>
  <c r="P88" i="3"/>
  <c r="P9" i="3"/>
  <c r="P14" i="3"/>
  <c r="P22" i="3"/>
  <c r="P31" i="3"/>
  <c r="P39" i="3"/>
  <c r="P46" i="3"/>
  <c r="P59" i="3"/>
  <c r="P64" i="3"/>
  <c r="P68" i="3"/>
  <c r="P74" i="3"/>
  <c r="P80" i="3"/>
  <c r="P98" i="3"/>
  <c r="P108" i="3"/>
  <c r="P118" i="3"/>
  <c r="P128" i="3"/>
  <c r="P95" i="3" s="1"/>
  <c r="O136" i="3"/>
  <c r="O138" i="3"/>
  <c r="O88" i="3"/>
  <c r="O9" i="3"/>
  <c r="O14" i="3"/>
  <c r="O22" i="3"/>
  <c r="O31" i="3"/>
  <c r="O39" i="3"/>
  <c r="O46" i="3"/>
  <c r="O59" i="3"/>
  <c r="O64" i="3"/>
  <c r="O68" i="3"/>
  <c r="O74" i="3"/>
  <c r="O80" i="3"/>
  <c r="O98" i="3"/>
  <c r="O108" i="3"/>
  <c r="O118" i="3"/>
  <c r="O128" i="3"/>
  <c r="O95" i="3" s="1"/>
  <c r="S89" i="3" l="1"/>
  <c r="Q63" i="3"/>
  <c r="R96" i="3"/>
  <c r="R89" i="3"/>
  <c r="Q137" i="3"/>
  <c r="Q139" i="3" s="1"/>
  <c r="Q94" i="3"/>
  <c r="Q38" i="3"/>
  <c r="Q21" i="3"/>
  <c r="Q8" i="3"/>
  <c r="Q56" i="3"/>
  <c r="Q55" i="3" s="1"/>
  <c r="Q95" i="3"/>
  <c r="O21" i="3"/>
  <c r="P21" i="3"/>
  <c r="P8" i="3"/>
  <c r="P38" i="3"/>
  <c r="P63" i="3"/>
  <c r="P56" i="3" s="1"/>
  <c r="P55" i="3" s="1"/>
  <c r="P94" i="3"/>
  <c r="P96" i="3" s="1"/>
  <c r="P137" i="3"/>
  <c r="P139" i="3" s="1"/>
  <c r="O137" i="3"/>
  <c r="O139" i="3" s="1"/>
  <c r="O94" i="3"/>
  <c r="O63" i="3"/>
  <c r="O56" i="3" s="1"/>
  <c r="O55" i="3" s="1"/>
  <c r="O38" i="3"/>
  <c r="O8" i="3"/>
  <c r="O96" i="3"/>
  <c r="Q96" i="3" l="1"/>
  <c r="Q89" i="3"/>
  <c r="P89" i="3"/>
  <c r="O89" i="3"/>
  <c r="N138" i="3"/>
  <c r="N136" i="3"/>
  <c r="N88" i="3"/>
  <c r="M88" i="3"/>
  <c r="N128" i="3"/>
  <c r="N118" i="3"/>
  <c r="N108" i="3"/>
  <c r="N98" i="3"/>
  <c r="N80" i="3"/>
  <c r="N74" i="3"/>
  <c r="N68" i="3"/>
  <c r="N64" i="3"/>
  <c r="N59" i="3"/>
  <c r="N46" i="3"/>
  <c r="N39" i="3"/>
  <c r="N31" i="3"/>
  <c r="N22" i="3"/>
  <c r="N14" i="3"/>
  <c r="N9" i="3"/>
  <c r="M138" i="3"/>
  <c r="M136" i="3"/>
  <c r="M9" i="3"/>
  <c r="M14" i="3"/>
  <c r="M22" i="3"/>
  <c r="M31" i="3"/>
  <c r="M39" i="3"/>
  <c r="M46" i="3"/>
  <c r="M59" i="3"/>
  <c r="M64" i="3"/>
  <c r="M68" i="3"/>
  <c r="M74" i="3"/>
  <c r="M80" i="3"/>
  <c r="M98" i="3"/>
  <c r="M108" i="3"/>
  <c r="M118" i="3"/>
  <c r="M128" i="3"/>
  <c r="M95" i="3" s="1"/>
  <c r="L138" i="3"/>
  <c r="L136" i="3"/>
  <c r="L88" i="3"/>
  <c r="M21" i="3" l="1"/>
  <c r="N21" i="3"/>
  <c r="N63" i="3"/>
  <c r="N56" i="3" s="1"/>
  <c r="N55" i="3" s="1"/>
  <c r="N94" i="3"/>
  <c r="N137" i="3"/>
  <c r="N139" i="3" s="1"/>
  <c r="N38" i="3"/>
  <c r="N8" i="3"/>
  <c r="N95" i="3"/>
  <c r="M94" i="3"/>
  <c r="M96" i="3" s="1"/>
  <c r="M137" i="3"/>
  <c r="M139" i="3" s="1"/>
  <c r="M63" i="3"/>
  <c r="M56" i="3" s="1"/>
  <c r="M55" i="3" s="1"/>
  <c r="M38" i="3"/>
  <c r="M8" i="3"/>
  <c r="L9" i="3"/>
  <c r="L14" i="3"/>
  <c r="L22" i="3"/>
  <c r="L31" i="3"/>
  <c r="L39" i="3"/>
  <c r="L46" i="3"/>
  <c r="L59" i="3"/>
  <c r="L64" i="3"/>
  <c r="L68" i="3"/>
  <c r="L74" i="3"/>
  <c r="L80" i="3"/>
  <c r="L98" i="3"/>
  <c r="L108" i="3"/>
  <c r="L118" i="3"/>
  <c r="L128" i="3"/>
  <c r="L95" i="3" s="1"/>
  <c r="N96" i="3" l="1"/>
  <c r="N89" i="3"/>
  <c r="M89" i="3"/>
  <c r="L94" i="3"/>
  <c r="L96" i="3" s="1"/>
  <c r="L63" i="3"/>
  <c r="L56" i="3" s="1"/>
  <c r="L55" i="3" s="1"/>
  <c r="L38" i="3"/>
  <c r="L21" i="3"/>
  <c r="L8" i="3"/>
  <c r="L137" i="3"/>
  <c r="L139" i="3" s="1"/>
  <c r="L89" i="3" l="1"/>
  <c r="K138" i="3" l="1"/>
  <c r="K136" i="3"/>
  <c r="K135" i="3"/>
  <c r="K88" i="3"/>
  <c r="W87" i="4"/>
  <c r="X87" i="4"/>
  <c r="X126" i="4"/>
  <c r="X116" i="4"/>
  <c r="X106" i="4"/>
  <c r="X96" i="4"/>
  <c r="X92" i="4" s="1"/>
  <c r="X93" i="4"/>
  <c r="X78" i="4"/>
  <c r="X72" i="4"/>
  <c r="X66" i="4"/>
  <c r="X62" i="4"/>
  <c r="X61" i="4"/>
  <c r="X54" i="4"/>
  <c r="X53" i="4"/>
  <c r="X46" i="4"/>
  <c r="X39" i="4"/>
  <c r="X38" i="4" s="1"/>
  <c r="X31" i="4"/>
  <c r="X22" i="4"/>
  <c r="X21" i="4" s="1"/>
  <c r="X14" i="4"/>
  <c r="X9" i="4"/>
  <c r="X8" i="4"/>
  <c r="W126" i="4"/>
  <c r="W135" i="4" s="1"/>
  <c r="W137" i="4" s="1"/>
  <c r="W116" i="4"/>
  <c r="W106" i="4"/>
  <c r="W96" i="4"/>
  <c r="W92" i="4" s="1"/>
  <c r="W93" i="4"/>
  <c r="W78" i="4"/>
  <c r="W72" i="4"/>
  <c r="W66" i="4"/>
  <c r="W62" i="4"/>
  <c r="W61" i="4"/>
  <c r="W54" i="4"/>
  <c r="W53" i="4" s="1"/>
  <c r="W47" i="4"/>
  <c r="W46" i="4"/>
  <c r="W39" i="4"/>
  <c r="W38" i="4" s="1"/>
  <c r="W31" i="4"/>
  <c r="W22" i="4"/>
  <c r="W21" i="4"/>
  <c r="W14" i="4"/>
  <c r="W10" i="4"/>
  <c r="W9" i="4"/>
  <c r="W8" i="4"/>
  <c r="X94" i="4" l="1"/>
  <c r="W94" i="4"/>
  <c r="X135" i="4"/>
  <c r="X137" i="4" s="1"/>
  <c r="K9" i="3" l="1"/>
  <c r="K14" i="3"/>
  <c r="K22" i="3"/>
  <c r="K31" i="3"/>
  <c r="K39" i="3"/>
  <c r="K46" i="3"/>
  <c r="K59" i="3"/>
  <c r="K64" i="3"/>
  <c r="K68" i="3"/>
  <c r="K74" i="3"/>
  <c r="K80" i="3"/>
  <c r="K98" i="3"/>
  <c r="K108" i="3"/>
  <c r="K118" i="3"/>
  <c r="K128" i="3"/>
  <c r="K95" i="3" s="1"/>
  <c r="J138" i="3"/>
  <c r="J136" i="3"/>
  <c r="J88" i="3"/>
  <c r="K137" i="3" l="1"/>
  <c r="K139" i="3" s="1"/>
  <c r="K94" i="3"/>
  <c r="K96" i="3" s="1"/>
  <c r="K38" i="3"/>
  <c r="K63" i="3"/>
  <c r="K56" i="3" s="1"/>
  <c r="K55" i="3" s="1"/>
  <c r="K21" i="3"/>
  <c r="K8" i="3"/>
  <c r="J9" i="3"/>
  <c r="J14" i="3"/>
  <c r="J22" i="3"/>
  <c r="J31" i="3"/>
  <c r="J39" i="3"/>
  <c r="J46" i="3"/>
  <c r="J59" i="3"/>
  <c r="J64" i="3"/>
  <c r="J68" i="3"/>
  <c r="J74" i="3"/>
  <c r="J80" i="3"/>
  <c r="J98" i="3"/>
  <c r="J108" i="3"/>
  <c r="J118" i="3"/>
  <c r="J128" i="3"/>
  <c r="J95" i="3" s="1"/>
  <c r="I138" i="3"/>
  <c r="I136" i="3"/>
  <c r="I88" i="3"/>
  <c r="I22" i="3"/>
  <c r="I9" i="3"/>
  <c r="I14" i="3"/>
  <c r="I31" i="3"/>
  <c r="I39" i="3"/>
  <c r="I46" i="3"/>
  <c r="I59" i="3"/>
  <c r="I64" i="3"/>
  <c r="I68" i="3"/>
  <c r="I74" i="3"/>
  <c r="I80" i="3"/>
  <c r="I98" i="3"/>
  <c r="I108" i="3"/>
  <c r="I118" i="3"/>
  <c r="I128" i="3"/>
  <c r="I95" i="3" s="1"/>
  <c r="I63" i="3" l="1"/>
  <c r="K89" i="3"/>
  <c r="J21" i="3"/>
  <c r="J137" i="3"/>
  <c r="J139" i="3" s="1"/>
  <c r="J94" i="3"/>
  <c r="J63" i="3"/>
  <c r="J56" i="3" s="1"/>
  <c r="J55" i="3" s="1"/>
  <c r="J38" i="3"/>
  <c r="J8" i="3"/>
  <c r="J96" i="3"/>
  <c r="I8" i="3"/>
  <c r="I137" i="3"/>
  <c r="I139" i="3" s="1"/>
  <c r="I94" i="3"/>
  <c r="I96" i="3" s="1"/>
  <c r="I56" i="3"/>
  <c r="I55" i="3" s="1"/>
  <c r="I38" i="3"/>
  <c r="I21" i="3"/>
  <c r="I89" i="3" l="1"/>
  <c r="J89" i="3"/>
  <c r="H138" i="3"/>
  <c r="H136" i="3"/>
  <c r="H135" i="3"/>
  <c r="H88" i="3"/>
  <c r="H9" i="3"/>
  <c r="H14" i="3"/>
  <c r="H22" i="3"/>
  <c r="H31" i="3"/>
  <c r="H39" i="3"/>
  <c r="H46" i="3"/>
  <c r="H59" i="3"/>
  <c r="H64" i="3"/>
  <c r="H68" i="3"/>
  <c r="H74" i="3"/>
  <c r="H80" i="3"/>
  <c r="H98" i="3"/>
  <c r="H108" i="3"/>
  <c r="H118" i="3"/>
  <c r="H128" i="3"/>
  <c r="H95" i="3" s="1"/>
  <c r="H63" i="3" l="1"/>
  <c r="H56" i="3" s="1"/>
  <c r="H55" i="3" s="1"/>
  <c r="H137" i="3"/>
  <c r="H139" i="3" s="1"/>
  <c r="H94" i="3"/>
  <c r="H96" i="3" s="1"/>
  <c r="H38" i="3"/>
  <c r="H21" i="3"/>
  <c r="H8" i="3"/>
  <c r="G136" i="3"/>
  <c r="H89" i="3" l="1"/>
  <c r="G88" i="3"/>
  <c r="G10" i="3" l="1"/>
  <c r="G9" i="3" s="1"/>
  <c r="G128" i="3"/>
  <c r="G118" i="3"/>
  <c r="G108" i="3"/>
  <c r="G98" i="3"/>
  <c r="G80" i="3"/>
  <c r="G74" i="3"/>
  <c r="G68" i="3"/>
  <c r="G64" i="3"/>
  <c r="G59" i="3"/>
  <c r="G46" i="3"/>
  <c r="G39" i="3"/>
  <c r="G31" i="3"/>
  <c r="G22" i="3"/>
  <c r="G14" i="3"/>
  <c r="G21" i="3" l="1"/>
  <c r="G38" i="3"/>
  <c r="G8" i="3"/>
  <c r="G95" i="3"/>
  <c r="G137" i="3"/>
  <c r="G139" i="3" s="1"/>
  <c r="G94" i="3"/>
  <c r="G63" i="3"/>
  <c r="G56" i="3" s="1"/>
  <c r="G55" i="3" s="1"/>
  <c r="F138" i="3"/>
  <c r="F136" i="3"/>
  <c r="F88" i="3"/>
  <c r="F10" i="3"/>
  <c r="G89" i="3" l="1"/>
  <c r="G96" i="3"/>
  <c r="F64" i="3"/>
  <c r="F9" i="3"/>
  <c r="F14" i="3"/>
  <c r="F22" i="3"/>
  <c r="F31" i="3"/>
  <c r="F39" i="3"/>
  <c r="F46" i="3"/>
  <c r="F59" i="3"/>
  <c r="F68" i="3"/>
  <c r="F74" i="3"/>
  <c r="F80" i="3"/>
  <c r="F98" i="3"/>
  <c r="F108" i="3"/>
  <c r="F118" i="3"/>
  <c r="F128" i="3"/>
  <c r="F95" i="3" s="1"/>
  <c r="F63" i="3" l="1"/>
  <c r="F56" i="3" s="1"/>
  <c r="F55" i="3" s="1"/>
  <c r="F38" i="3"/>
  <c r="F21" i="3"/>
  <c r="F8" i="3"/>
  <c r="F94" i="3"/>
  <c r="F96" i="3" s="1"/>
  <c r="F137" i="3"/>
  <c r="F139" i="3" s="1"/>
  <c r="E10" i="3"/>
  <c r="E138" i="3"/>
  <c r="E136" i="3"/>
  <c r="E135" i="3"/>
  <c r="E123" i="3"/>
  <c r="E113" i="3"/>
  <c r="E103" i="3"/>
  <c r="E88" i="3"/>
  <c r="E78" i="3"/>
  <c r="E66" i="3"/>
  <c r="D66" i="3"/>
  <c r="F89" i="3" l="1"/>
  <c r="E9" i="3"/>
  <c r="E14" i="3"/>
  <c r="E22" i="3"/>
  <c r="E31" i="3"/>
  <c r="E39" i="3"/>
  <c r="E46" i="3"/>
  <c r="E59" i="3"/>
  <c r="E64" i="3"/>
  <c r="E68" i="3"/>
  <c r="E74" i="3"/>
  <c r="E80" i="3"/>
  <c r="E98" i="3"/>
  <c r="E108" i="3"/>
  <c r="E118" i="3"/>
  <c r="E128" i="3"/>
  <c r="E95" i="3" s="1"/>
  <c r="E94" i="3" l="1"/>
  <c r="E96" i="3" s="1"/>
  <c r="E63" i="3"/>
  <c r="E56" i="3" s="1"/>
  <c r="E55" i="3" s="1"/>
  <c r="E38" i="3"/>
  <c r="E21" i="3"/>
  <c r="E8" i="3"/>
  <c r="E137" i="3"/>
  <c r="E139" i="3" s="1"/>
  <c r="C136" i="3"/>
  <c r="E89" i="3" l="1"/>
  <c r="D10" i="3"/>
  <c r="D135" i="3"/>
  <c r="D138" i="3"/>
  <c r="D136" i="3"/>
  <c r="D88" i="3"/>
  <c r="D78" i="3"/>
  <c r="D9" i="3" l="1"/>
  <c r="D14" i="3"/>
  <c r="D22" i="3"/>
  <c r="D31" i="3"/>
  <c r="D39" i="3"/>
  <c r="D46" i="3"/>
  <c r="D59" i="3"/>
  <c r="D64" i="3"/>
  <c r="D68" i="3"/>
  <c r="D74" i="3"/>
  <c r="D80" i="3"/>
  <c r="D98" i="3"/>
  <c r="D108" i="3"/>
  <c r="D118" i="3"/>
  <c r="D128" i="3"/>
  <c r="D95" i="3" l="1"/>
  <c r="D137" i="3"/>
  <c r="D94" i="3"/>
  <c r="D63" i="3"/>
  <c r="D38" i="3"/>
  <c r="D21" i="3"/>
  <c r="D8" i="3"/>
  <c r="D56" i="3" l="1"/>
  <c r="D96" i="3"/>
  <c r="D139" i="3"/>
  <c r="D55" i="3" l="1"/>
  <c r="C10" i="3"/>
  <c r="D89" i="3" l="1"/>
  <c r="C138" i="3"/>
  <c r="C88" i="3"/>
  <c r="C9" i="3"/>
  <c r="C14" i="3"/>
  <c r="C22" i="3"/>
  <c r="C31" i="3"/>
  <c r="C39" i="3"/>
  <c r="C46" i="3"/>
  <c r="C59" i="3"/>
  <c r="C64" i="3"/>
  <c r="C68" i="3"/>
  <c r="C74" i="3"/>
  <c r="C80" i="3"/>
  <c r="C98" i="3"/>
  <c r="C108" i="3"/>
  <c r="C118" i="3"/>
  <c r="C128" i="3"/>
  <c r="C63" i="3" l="1"/>
  <c r="C94" i="3"/>
  <c r="C137" i="3"/>
  <c r="C38" i="3"/>
  <c r="C21" i="3"/>
  <c r="C8" i="3"/>
  <c r="C95" i="3"/>
  <c r="C139" i="3" l="1"/>
  <c r="C56" i="3"/>
  <c r="C96" i="3"/>
  <c r="C55" i="3" l="1"/>
  <c r="C89" i="3" l="1"/>
  <c r="V135" i="4" l="1"/>
  <c r="V137" i="4" s="1"/>
  <c r="V92" i="4"/>
  <c r="V94" i="4" s="1"/>
  <c r="V78" i="4"/>
  <c r="V72" i="4"/>
  <c r="V66" i="4"/>
  <c r="V62" i="4"/>
  <c r="V61" i="4"/>
  <c r="V38" i="4"/>
  <c r="V31" i="4"/>
  <c r="V21" i="4"/>
  <c r="V14" i="4"/>
  <c r="V9" i="4"/>
  <c r="U135" i="4"/>
  <c r="U137" i="4" s="1"/>
  <c r="U92" i="4"/>
  <c r="U94" i="4" s="1"/>
  <c r="U78" i="4"/>
  <c r="U72" i="4"/>
  <c r="U66" i="4"/>
  <c r="U62" i="4"/>
  <c r="U61" i="4"/>
  <c r="U57" i="4"/>
  <c r="U54" i="4" s="1"/>
  <c r="U53" i="4" s="1"/>
  <c r="U46" i="4"/>
  <c r="U39" i="4"/>
  <c r="U38" i="4" s="1"/>
  <c r="U31" i="4"/>
  <c r="U22" i="4"/>
  <c r="U21" i="4" s="1"/>
  <c r="U14" i="4"/>
  <c r="U9" i="4"/>
  <c r="U8" i="4" s="1"/>
  <c r="U87" i="4" s="1"/>
  <c r="T134" i="4"/>
  <c r="T135" i="4" s="1"/>
  <c r="T137" i="4" s="1"/>
  <c r="T127" i="4"/>
  <c r="T92" i="4"/>
  <c r="T94" i="4" s="1"/>
  <c r="T87" i="4"/>
  <c r="T72" i="4"/>
  <c r="T66" i="4"/>
  <c r="T62" i="4"/>
  <c r="T61" i="4"/>
  <c r="T57" i="4"/>
  <c r="T31" i="4"/>
  <c r="T15" i="4"/>
  <c r="T14" i="4" s="1"/>
  <c r="T10" i="4"/>
  <c r="T9" i="4"/>
  <c r="H9" i="4"/>
  <c r="I9" i="4"/>
  <c r="J9" i="4"/>
  <c r="K9" i="4"/>
  <c r="L9" i="4"/>
  <c r="M9" i="4"/>
  <c r="N9" i="4"/>
  <c r="O9" i="4"/>
  <c r="P9" i="4"/>
  <c r="Q9" i="4"/>
  <c r="R9" i="4"/>
  <c r="S9" i="4"/>
  <c r="H10" i="4"/>
  <c r="J10" i="4"/>
  <c r="K10" i="4"/>
  <c r="L10" i="4"/>
  <c r="M10" i="4"/>
  <c r="N10" i="4"/>
  <c r="O14" i="4"/>
  <c r="P14" i="4"/>
  <c r="P8" i="4"/>
  <c r="Q14" i="4"/>
  <c r="Q8" i="4" s="1"/>
  <c r="R14" i="4"/>
  <c r="H15" i="4"/>
  <c r="H14" i="4"/>
  <c r="I15" i="4"/>
  <c r="I14" i="4" s="1"/>
  <c r="J15" i="4"/>
  <c r="J14" i="4"/>
  <c r="K15" i="4"/>
  <c r="K14" i="4" s="1"/>
  <c r="L15" i="4"/>
  <c r="L14" i="4"/>
  <c r="M15" i="4"/>
  <c r="M14" i="4" s="1"/>
  <c r="N15" i="4"/>
  <c r="N14" i="4" s="1"/>
  <c r="S15" i="4"/>
  <c r="S14" i="4" s="1"/>
  <c r="S8" i="4" s="1"/>
  <c r="O22" i="4"/>
  <c r="O21" i="4" s="1"/>
  <c r="P22" i="4"/>
  <c r="P21" i="4" s="1"/>
  <c r="Q22" i="4"/>
  <c r="M28" i="4"/>
  <c r="O31" i="4"/>
  <c r="P31" i="4"/>
  <c r="Q31" i="4"/>
  <c r="Q21" i="4"/>
  <c r="R31" i="4"/>
  <c r="S31" i="4"/>
  <c r="S21" i="4" s="1"/>
  <c r="O39" i="4"/>
  <c r="P39" i="4"/>
  <c r="P38" i="4" s="1"/>
  <c r="Q39" i="4"/>
  <c r="R39" i="4"/>
  <c r="S39" i="4"/>
  <c r="O46" i="4"/>
  <c r="P46" i="4"/>
  <c r="Q46" i="4"/>
  <c r="S46" i="4"/>
  <c r="E55" i="4"/>
  <c r="F57" i="4"/>
  <c r="G57" i="4"/>
  <c r="H57" i="4"/>
  <c r="I57" i="4"/>
  <c r="J57" i="4"/>
  <c r="K57" i="4"/>
  <c r="L57" i="4"/>
  <c r="M57" i="4"/>
  <c r="N57" i="4"/>
  <c r="O57" i="4"/>
  <c r="P57" i="4"/>
  <c r="Q57" i="4"/>
  <c r="I61" i="4"/>
  <c r="J61" i="4"/>
  <c r="K61" i="4"/>
  <c r="L61" i="4"/>
  <c r="M61" i="4"/>
  <c r="N61" i="4"/>
  <c r="O61" i="4"/>
  <c r="P61" i="4"/>
  <c r="Q61" i="4"/>
  <c r="R61" i="4"/>
  <c r="R54" i="4" s="1"/>
  <c r="S61" i="4"/>
  <c r="C62" i="4"/>
  <c r="D62" i="4"/>
  <c r="E62" i="4"/>
  <c r="F62" i="4"/>
  <c r="G62" i="4"/>
  <c r="H62" i="4"/>
  <c r="C66" i="4"/>
  <c r="D66" i="4"/>
  <c r="E66" i="4"/>
  <c r="E61" i="4" s="1"/>
  <c r="F66" i="4"/>
  <c r="F61" i="4"/>
  <c r="G66" i="4"/>
  <c r="H66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S54" i="4" s="1"/>
  <c r="S53" i="4" s="1"/>
  <c r="C73" i="4"/>
  <c r="D73" i="4"/>
  <c r="C74" i="4"/>
  <c r="C75" i="4"/>
  <c r="C76" i="4"/>
  <c r="D76" i="4"/>
  <c r="O78" i="4"/>
  <c r="P78" i="4"/>
  <c r="Q78" i="4"/>
  <c r="R78" i="4"/>
  <c r="S78" i="4"/>
  <c r="C87" i="4"/>
  <c r="D87" i="4"/>
  <c r="E87" i="4"/>
  <c r="F87" i="4"/>
  <c r="G87" i="4"/>
  <c r="H87" i="4"/>
  <c r="I87" i="4"/>
  <c r="J87" i="4"/>
  <c r="K87" i="4"/>
  <c r="L87" i="4"/>
  <c r="M87" i="4"/>
  <c r="N87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M102" i="4"/>
  <c r="C103" i="4"/>
  <c r="E103" i="4"/>
  <c r="F103" i="4"/>
  <c r="G103" i="4"/>
  <c r="H103" i="4"/>
  <c r="I103" i="4"/>
  <c r="J103" i="4"/>
  <c r="M103" i="4"/>
  <c r="E113" i="4"/>
  <c r="F113" i="4"/>
  <c r="G113" i="4"/>
  <c r="C123" i="4"/>
  <c r="E123" i="4"/>
  <c r="F123" i="4"/>
  <c r="G123" i="4"/>
  <c r="G126" i="4"/>
  <c r="H126" i="4"/>
  <c r="H135" i="4" s="1"/>
  <c r="H137" i="4" s="1"/>
  <c r="F127" i="4"/>
  <c r="L127" i="4"/>
  <c r="R130" i="4"/>
  <c r="G134" i="4"/>
  <c r="H134" i="4"/>
  <c r="I134" i="4"/>
  <c r="I135" i="4" s="1"/>
  <c r="I137" i="4" s="1"/>
  <c r="J134" i="4"/>
  <c r="J135" i="4" s="1"/>
  <c r="J137" i="4" s="1"/>
  <c r="K134" i="4"/>
  <c r="K135" i="4" s="1"/>
  <c r="K137" i="4" s="1"/>
  <c r="L134" i="4"/>
  <c r="L135" i="4" s="1"/>
  <c r="L137" i="4" s="1"/>
  <c r="C135" i="4"/>
  <c r="C137" i="4" s="1"/>
  <c r="D135" i="4"/>
  <c r="D137" i="4"/>
  <c r="E135" i="4"/>
  <c r="E137" i="4" s="1"/>
  <c r="F135" i="4"/>
  <c r="F137" i="4"/>
  <c r="G135" i="4"/>
  <c r="G137" i="4" s="1"/>
  <c r="M135" i="4"/>
  <c r="M137" i="4" s="1"/>
  <c r="N135" i="4"/>
  <c r="N137" i="4" s="1"/>
  <c r="O135" i="4"/>
  <c r="O137" i="4" s="1"/>
  <c r="P135" i="4"/>
  <c r="P137" i="4" s="1"/>
  <c r="Q135" i="4"/>
  <c r="Q137" i="4"/>
  <c r="R135" i="4"/>
  <c r="R137" i="4" s="1"/>
  <c r="S135" i="4"/>
  <c r="S137" i="4" s="1"/>
  <c r="S38" i="4"/>
  <c r="P54" i="4" l="1"/>
  <c r="P53" i="4" s="1"/>
  <c r="G61" i="4"/>
  <c r="O38" i="4"/>
  <c r="O87" i="4" s="1"/>
  <c r="O8" i="4"/>
  <c r="C61" i="4"/>
  <c r="R53" i="4"/>
  <c r="R87" i="4" s="1"/>
  <c r="O54" i="4"/>
  <c r="O53" i="4" s="1"/>
  <c r="V87" i="4"/>
  <c r="H61" i="4"/>
  <c r="D61" i="4"/>
  <c r="Q54" i="4"/>
  <c r="Q53" i="4" s="1"/>
  <c r="Q38" i="4"/>
  <c r="Q87" i="4" s="1"/>
  <c r="V54" i="4"/>
  <c r="P87" i="4"/>
  <c r="S87" i="4"/>
</calcChain>
</file>

<file path=xl/sharedStrings.xml><?xml version="1.0" encoding="utf-8"?>
<sst xmlns="http://schemas.openxmlformats.org/spreadsheetml/2006/main" count="460" uniqueCount="120">
  <si>
    <t xml:space="preserve">PREMISES,  FIXED ASSETS &amp; GOODWILL </t>
  </si>
  <si>
    <t>TOTAL ASSETS</t>
  </si>
  <si>
    <t xml:space="preserve">TOTAL RESIDENT DEPOSITS  </t>
  </si>
  <si>
    <t>TOTAL NON-RESIDENT DEPOSITS</t>
  </si>
  <si>
    <t>Central Government</t>
  </si>
  <si>
    <t>Public Financial &amp; Nonfinancial Corporations (SA's &amp; GOC's &amp; Gov. NPI's)</t>
  </si>
  <si>
    <t>Other Sectors (Households &amp; NPI's)</t>
  </si>
  <si>
    <t>SHAREHOLDERS EQUITY</t>
  </si>
  <si>
    <t>OTHER LIABILITIES</t>
  </si>
  <si>
    <t>TOTAL LIABILITIES</t>
  </si>
  <si>
    <t>TRANSFERABLE DEPOSITS (Demand) - RESIDENT</t>
  </si>
  <si>
    <t>SAVINGS DEPOSITS  - RESIDENT</t>
  </si>
  <si>
    <t>FIXED DEPOSITS - RESIDENT</t>
  </si>
  <si>
    <t>TOTAL DEPOSITS</t>
  </si>
  <si>
    <t>TOTAL LIABILITIES and SHAREHOLDERS EQUITY</t>
  </si>
  <si>
    <t>Central Bank, Monetary Authority, Currency Board (CIMA)</t>
  </si>
  <si>
    <t>n/a</t>
  </si>
  <si>
    <t>Public Financial &amp; Nonfinancial Corporations (Public Entities)</t>
  </si>
  <si>
    <t>Non-Financial Corporations (Commercial Private Sector)</t>
  </si>
  <si>
    <t>Public Financial &amp; Nonfinancial Corps.(SA's &amp; GOC's)</t>
  </si>
  <si>
    <t>Group Bank - Parent, Head Office, Branch, Subsidiary or Affiliate</t>
  </si>
  <si>
    <t>LOANS &amp; ADVANCES - RESIDENT &amp; NON-RESIDENT</t>
  </si>
  <si>
    <t>ASSETS</t>
  </si>
  <si>
    <t>LIABILITIES</t>
  </si>
  <si>
    <t>Non-Financial Corps. (Commercial Private Sector)</t>
  </si>
  <si>
    <t>Non-Financial Corporations (Commerical Private Sector)</t>
  </si>
  <si>
    <t xml:space="preserve">    o/w Production, Manufacturing &amp; Construction</t>
  </si>
  <si>
    <t xml:space="preserve">    o/w Services (tourist accomodation, transportation, communication &amp; other services)</t>
  </si>
  <si>
    <t xml:space="preserve">    o/w Domestic Property</t>
  </si>
  <si>
    <t xml:space="preserve">    o/w Motor Vehicles</t>
  </si>
  <si>
    <t xml:space="preserve">    o/w Education</t>
  </si>
  <si>
    <t xml:space="preserve">    o/w Miscellaneous </t>
  </si>
  <si>
    <t>Other Depository Corporations (Class 'A' Banks - Retail &amp; Non-Retail)</t>
  </si>
  <si>
    <t>CASH ITEMS</t>
  </si>
  <si>
    <t>RESIDENT</t>
  </si>
  <si>
    <t>NON-RESIDENT</t>
  </si>
  <si>
    <t>OTHER DEPOSITS - NON-RESIDENTS</t>
  </si>
  <si>
    <t>LIABILITIES - CATEGORY 'A' NON-RETAIL BANKS (in USD 000's) - UNCONSOLIDATED  (CAYMAN OPERATIONS ONLY)</t>
  </si>
  <si>
    <t>2013Q1</t>
  </si>
  <si>
    <t>2013Q2</t>
  </si>
  <si>
    <t xml:space="preserve">Other Depository Corps. ('B' Banks) </t>
  </si>
  <si>
    <t xml:space="preserve">Other Depository Corps. ('A' Banks - Retail &amp; Non-Retail) </t>
  </si>
  <si>
    <t>Other Banks</t>
  </si>
  <si>
    <t>DEBT &amp; EQUITY SECURITIES - RESIDENT &amp; NON-RESIDENT</t>
  </si>
  <si>
    <t>Others (Governments, Non-Financial Corporations &amp; Households)</t>
  </si>
  <si>
    <t>OTHER INVESTMENTS - RESIDENT &amp; NON-RESIDENT</t>
  </si>
  <si>
    <t>Financial Corporations (Depository &amp; Other Financial Corporations)</t>
  </si>
  <si>
    <t xml:space="preserve">    o/w Central Banks, Monetary Authority (CIMA)</t>
  </si>
  <si>
    <t xml:space="preserve">    o/w Other Depository Corps ( Category A Banks)</t>
  </si>
  <si>
    <t xml:space="preserve">    o/w Other Depository Corps ( Category B Banks)</t>
  </si>
  <si>
    <t>Other Depository Corporations (Class 'B' Banks )</t>
  </si>
  <si>
    <t>Other Depository Corporations (Class 'B Banks )</t>
  </si>
  <si>
    <t>Other Depository Corporations (Class 'B' Banks)</t>
  </si>
  <si>
    <t>Other Depository Corporations (Class 'A' Banks- Retail &amp; Non-Retail)</t>
  </si>
  <si>
    <t xml:space="preserve">    o/w Securities Dealers, Brokers &amp; Agents</t>
  </si>
  <si>
    <t xml:space="preserve">    o/w Other Financial Institutions (intermediaries/Auxiliaries)</t>
  </si>
  <si>
    <t xml:space="preserve">    o/w Group Affiliated Entities (Resident) - Corporations, Funds, Insurance, Trusts, etc.</t>
  </si>
  <si>
    <t xml:space="preserve">    o/w Trusts &amp; Mutual Funds</t>
  </si>
  <si>
    <t xml:space="preserve">    o/w Insurance Companies and Pension Funds</t>
  </si>
  <si>
    <t>2013Q3</t>
  </si>
  <si>
    <t>REPO's, TERM DEBT &amp; OTHER BORROWINGS</t>
  </si>
  <si>
    <t xml:space="preserve">    o/w Trade &amp; Commerce (wholesale/retail trade; real estate, property mgt &amp; related act.)</t>
  </si>
  <si>
    <t>2014Q1</t>
  </si>
  <si>
    <t>2014Q2</t>
  </si>
  <si>
    <t>2014Q3</t>
  </si>
  <si>
    <t>2014Q4</t>
  </si>
  <si>
    <t>Unconsolidated - Does not include the operations of other entities that operate under these banks outside the Cayman Islands.</t>
  </si>
  <si>
    <t>n/a - The design of the DBA Survey Form did not capture this breakdown for those periods.</t>
  </si>
  <si>
    <t>2015Q1</t>
  </si>
  <si>
    <t>2015Q2</t>
  </si>
  <si>
    <t>2015Q3</t>
  </si>
  <si>
    <t xml:space="preserve">Other Financial Corps. ( Financial Intermediaries, Auxiliaries &amp; Non-Bank Financial Insts.) </t>
  </si>
  <si>
    <t xml:space="preserve"> ASSETS - CATEGORY 'A' NON-RETAIL BANKS (in USD 000's) - UNCONSOLIDATED</t>
  </si>
  <si>
    <t>2011 Q3 a Category 'A' retail bank restructured its operations between retail and non-retail.</t>
  </si>
  <si>
    <t>2014Q1 - DBA was revised to capture data on Non-Resident: Non-Financial Corps - Commercial Private Sector, Governments, Households &amp; Non-Profit Associations</t>
  </si>
  <si>
    <t>Non-Financial Corporations - Commercial Private Sector</t>
  </si>
  <si>
    <t>Other Sectors - Governments &amp; Households</t>
  </si>
  <si>
    <t xml:space="preserve">  o/w Depository Corporations</t>
  </si>
  <si>
    <t xml:space="preserve">  o/w Other Financial Corps. ( Financial Intermediaries &amp; Non-Bank Financial Inst's.) </t>
  </si>
  <si>
    <t xml:space="preserve"> Non-Financial Corporations - Commercial Private Sector</t>
  </si>
  <si>
    <t>Other Sectors -  Government &amp; Households</t>
  </si>
  <si>
    <t xml:space="preserve">o/w Other Financial Corps. ( Financial Interm, Aux &amp; Non-Bank Financial Ins.) </t>
  </si>
  <si>
    <t xml:space="preserve"> Other Sectors - Governments &amp; Households</t>
  </si>
  <si>
    <t>NOTES &amp; COINS IN HAND</t>
  </si>
  <si>
    <t>DEPOSIT BALANCES &amp; CD'S  - RESIDENT &amp; NON-RESIDENT</t>
  </si>
  <si>
    <t xml:space="preserve">Other Financial Corps. (Financial Intermediaries, Auxiliaries &amp; Non-Bank Financial Insts.) </t>
  </si>
  <si>
    <t>Others (Households &amp; Non-Profits)</t>
  </si>
  <si>
    <t>Others (Non-Financial Corporations, Households &amp; Non-Profits)</t>
  </si>
  <si>
    <t>Other Sectors - Households &amp; Non-Profit Associations</t>
  </si>
  <si>
    <t>Other Sectors (Households &amp; Non-Profit Associations)</t>
  </si>
  <si>
    <t>Other Sectors - Government &amp; Households</t>
  </si>
  <si>
    <r>
      <t xml:space="preserve">OTHER ASSETS </t>
    </r>
    <r>
      <rPr>
        <b/>
        <i/>
        <sz val="9"/>
        <rFont val="Verdana"/>
        <family val="2"/>
      </rPr>
      <t>(including interest, cheques under collection, etc)</t>
    </r>
  </si>
  <si>
    <t xml:space="preserve">                                                                                                       LIABILITIES - CATEGORY 'A' NON-RETAIL BANKS (in USD 000's) - UNCONSOLIDATED  (CAYMAN OPERATIONS ONLY)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</si>
  <si>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</si>
  <si>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</si>
  <si>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</si>
  <si>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</si>
  <si>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</si>
  <si>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</si>
  <si>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</si>
  <si>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</si>
  <si>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</si>
  <si>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 xml:space="preserve">        ASSETS - CATEGORY 'A' NON-RETAIL BANKS (in USD 000's) - UNCONSOLIDATED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</si>
  <si>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</si>
  <si>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</si>
  <si>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</si>
  <si>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</si>
  <si>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</si>
  <si>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</si>
  <si>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</si>
  <si>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</si>
  <si>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</si>
  <si>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</si>
  <si>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</si>
  <si>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</si>
  <si>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</si>
  <si>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</si>
  <si>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</si>
  <si>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</si>
  <si>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Updated July 2026 for the period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</si>
</sst>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10"/>
      <color indexed="9"/>
      <name val="Verdana"/>
      <family val="2"/>
    </font>
    <font>
      <b/>
      <i/>
      <sz val="9"/>
      <color indexed="9"/>
      <name val="Verdana"/>
      <family val="2"/>
    </font>
    <font>
      <b/>
      <u val="double"/>
      <sz val="12"/>
      <name val="Verdana"/>
      <family val="2"/>
    </font>
    <font>
      <b/>
      <u/>
      <sz val="10"/>
      <name val="Verdana"/>
      <family val="2"/>
    </font>
    <font>
      <u/>
      <sz val="9"/>
      <name val="Verdana"/>
      <family val="2"/>
    </font>
    <font>
      <sz val="8"/>
      <name val="Verdana"/>
      <family val="2"/>
    </font>
    <font>
      <sz val="8"/>
      <color indexed="63"/>
      <name val="Verdana"/>
      <family val="2"/>
    </font>
    <font>
      <i/>
      <sz val="9"/>
      <name val="Verdana"/>
      <family val="2"/>
    </font>
    <font>
      <i/>
      <sz val="9"/>
      <color indexed="63"/>
      <name val="Verdana"/>
      <family val="2"/>
    </font>
    <font>
      <sz val="9"/>
      <color indexed="63"/>
      <name val="Verdana"/>
      <family val="2"/>
    </font>
    <font>
      <i/>
      <sz val="8"/>
      <color indexed="63"/>
      <name val="Verdana"/>
      <family val="2"/>
    </font>
    <font>
      <i/>
      <sz val="10"/>
      <name val="Verdana"/>
      <family val="2"/>
    </font>
    <font>
      <i/>
      <u/>
      <sz val="9"/>
      <name val="Verdana"/>
      <family val="2"/>
    </font>
    <font>
      <i/>
      <sz val="8"/>
      <name val="Verdana"/>
      <family val="2"/>
    </font>
    <font>
      <b/>
      <i/>
      <sz val="9"/>
      <name val="Verdana"/>
      <family val="2"/>
    </font>
    <font>
      <b/>
      <i/>
      <sz val="8.5"/>
      <name val="Verdana"/>
      <family val="2"/>
    </font>
    <font>
      <b/>
      <i/>
      <sz val="8"/>
      <color indexed="63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u/>
      <sz val="13"/>
      <name val="Verdana"/>
      <family val="2"/>
    </font>
    <font>
      <b/>
      <u val="double"/>
      <sz val="9"/>
      <name val="Verdana"/>
      <family val="2"/>
    </font>
    <font>
      <b/>
      <i/>
      <sz val="10"/>
      <name val="Verdana"/>
      <family val="2"/>
    </font>
    <font>
      <b/>
      <sz val="9"/>
      <color indexed="8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b/>
      <sz val="10"/>
      <color indexed="63"/>
      <name val="Verdana"/>
      <family val="2"/>
    </font>
    <font>
      <b/>
      <sz val="10"/>
      <color indexed="9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154">
    <xf numFmtId="0" fontId="0" fillId="0" borderId="0" xfId="0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6" fillId="0" borderId="0" xfId="0" applyFont="1"/>
    <xf numFmtId="3" fontId="6" fillId="0" borderId="0" xfId="0" applyNumberFormat="1" applyFont="1"/>
    <xf numFmtId="0" fontId="6" fillId="3" borderId="0" xfId="6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164" fontId="5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164" fontId="16" fillId="0" borderId="0" xfId="2" applyNumberFormat="1" applyFont="1" applyFill="1" applyAlignment="1">
      <alignment horizontal="right"/>
    </xf>
    <xf numFmtId="0" fontId="17" fillId="0" borderId="0" xfId="6" applyFont="1"/>
    <xf numFmtId="0" fontId="18" fillId="0" borderId="0" xfId="0" applyFont="1"/>
    <xf numFmtId="0" fontId="19" fillId="0" borderId="0" xfId="0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0" fontId="13" fillId="0" borderId="0" xfId="6" applyFont="1"/>
    <xf numFmtId="3" fontId="14" fillId="0" borderId="0" xfId="0" applyNumberFormat="1" applyFont="1"/>
    <xf numFmtId="164" fontId="5" fillId="0" borderId="0" xfId="1" applyNumberFormat="1" applyFont="1" applyFill="1"/>
    <xf numFmtId="0" fontId="5" fillId="0" borderId="0" xfId="0" applyFont="1" applyAlignment="1">
      <alignment horizontal="right"/>
    </xf>
    <xf numFmtId="0" fontId="13" fillId="3" borderId="0" xfId="0" applyFont="1" applyFill="1"/>
    <xf numFmtId="0" fontId="16" fillId="0" borderId="0" xfId="6" applyFont="1"/>
    <xf numFmtId="0" fontId="6" fillId="0" borderId="0" xfId="0" applyFont="1" applyAlignment="1">
      <alignment horizontal="center"/>
    </xf>
    <xf numFmtId="0" fontId="20" fillId="0" borderId="0" xfId="0" applyFont="1"/>
    <xf numFmtId="0" fontId="20" fillId="4" borderId="0" xfId="0" applyFont="1" applyFill="1"/>
    <xf numFmtId="0" fontId="14" fillId="4" borderId="0" xfId="0" applyFont="1" applyFill="1"/>
    <xf numFmtId="3" fontId="14" fillId="4" borderId="0" xfId="0" applyNumberFormat="1" applyFont="1" applyFill="1"/>
    <xf numFmtId="0" fontId="21" fillId="0" borderId="0" xfId="0" applyFont="1"/>
    <xf numFmtId="0" fontId="22" fillId="0" borderId="0" xfId="0" applyFont="1"/>
    <xf numFmtId="0" fontId="20" fillId="4" borderId="0" xfId="6" applyFont="1" applyFill="1"/>
    <xf numFmtId="0" fontId="23" fillId="0" borderId="0" xfId="0" applyFont="1"/>
    <xf numFmtId="0" fontId="24" fillId="0" borderId="0" xfId="0" applyFont="1"/>
    <xf numFmtId="164" fontId="5" fillId="0" borderId="0" xfId="3" applyNumberFormat="1" applyFont="1" applyFill="1"/>
    <xf numFmtId="3" fontId="6" fillId="3" borderId="0" xfId="0" applyNumberFormat="1" applyFont="1" applyFill="1"/>
    <xf numFmtId="164" fontId="4" fillId="0" borderId="0" xfId="1" applyNumberFormat="1" applyFont="1"/>
    <xf numFmtId="164" fontId="25" fillId="0" borderId="0" xfId="1" applyNumberFormat="1" applyFon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12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6" applyFont="1" applyAlignment="1">
      <alignment horizontal="center"/>
    </xf>
    <xf numFmtId="37" fontId="6" fillId="0" borderId="0" xfId="0" applyNumberFormat="1" applyFont="1"/>
    <xf numFmtId="0" fontId="12" fillId="3" borderId="0" xfId="0" applyFont="1" applyFill="1"/>
    <xf numFmtId="0" fontId="4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8" fillId="2" borderId="2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10" fillId="3" borderId="0" xfId="0" applyFont="1" applyFill="1"/>
    <xf numFmtId="1" fontId="30" fillId="3" borderId="0" xfId="0" applyNumberFormat="1" applyFont="1" applyFill="1" applyAlignment="1">
      <alignment horizontal="right"/>
    </xf>
    <xf numFmtId="1" fontId="35" fillId="3" borderId="0" xfId="0" applyNumberFormat="1" applyFont="1" applyFill="1" applyAlignment="1">
      <alignment horizontal="right"/>
    </xf>
    <xf numFmtId="1" fontId="35" fillId="3" borderId="0" xfId="0" applyNumberFormat="1" applyFont="1" applyFill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 applyAlignment="1">
      <alignment horizontal="right"/>
    </xf>
    <xf numFmtId="0" fontId="11" fillId="3" borderId="0" xfId="0" applyFont="1" applyFill="1"/>
    <xf numFmtId="3" fontId="31" fillId="3" borderId="0" xfId="0" applyNumberFormat="1" applyFont="1" applyFill="1" applyAlignment="1">
      <alignment horizontal="right"/>
    </xf>
    <xf numFmtId="3" fontId="31" fillId="3" borderId="0" xfId="0" applyNumberFormat="1" applyFont="1" applyFill="1"/>
    <xf numFmtId="164" fontId="12" fillId="3" borderId="0" xfId="1" applyNumberFormat="1" applyFont="1" applyFill="1" applyAlignment="1">
      <alignment horizontal="right"/>
    </xf>
    <xf numFmtId="3" fontId="12" fillId="3" borderId="0" xfId="0" applyNumberFormat="1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14" fillId="3" borderId="0" xfId="0" applyFont="1" applyFill="1"/>
    <xf numFmtId="0" fontId="15" fillId="3" borderId="0" xfId="0" applyFont="1" applyFill="1"/>
    <xf numFmtId="164" fontId="14" fillId="3" borderId="0" xfId="1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0" fontId="14" fillId="3" borderId="0" xfId="0" applyFont="1" applyFill="1" applyAlignment="1">
      <alignment horizontal="right"/>
    </xf>
    <xf numFmtId="164" fontId="13" fillId="3" borderId="0" xfId="2" applyNumberFormat="1" applyFont="1" applyFill="1" applyAlignment="1">
      <alignment horizontal="right"/>
    </xf>
    <xf numFmtId="164" fontId="12" fillId="3" borderId="0" xfId="1" applyNumberFormat="1" applyFont="1" applyFill="1"/>
    <xf numFmtId="0" fontId="12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7" fillId="3" borderId="0" xfId="6" applyFont="1" applyFill="1"/>
    <xf numFmtId="0" fontId="20" fillId="3" borderId="0" xfId="0" applyFont="1" applyFill="1" applyAlignment="1">
      <alignment horizontal="right"/>
    </xf>
    <xf numFmtId="0" fontId="18" fillId="3" borderId="0" xfId="0" applyFont="1" applyFill="1" applyAlignment="1">
      <alignment horizontal="right"/>
    </xf>
    <xf numFmtId="0" fontId="20" fillId="3" borderId="0" xfId="0" applyFont="1" applyFill="1"/>
    <xf numFmtId="0" fontId="14" fillId="0" borderId="0" xfId="0" applyFont="1" applyAlignment="1">
      <alignment horizontal="right"/>
    </xf>
    <xf numFmtId="0" fontId="18" fillId="3" borderId="0" xfId="0" applyFont="1" applyFill="1"/>
    <xf numFmtId="0" fontId="19" fillId="3" borderId="0" xfId="0" applyFont="1" applyFill="1"/>
    <xf numFmtId="3" fontId="13" fillId="3" borderId="0" xfId="0" applyNumberFormat="1" applyFont="1" applyFill="1" applyAlignment="1">
      <alignment horizontal="right"/>
    </xf>
    <xf numFmtId="3" fontId="12" fillId="3" borderId="0" xfId="0" applyNumberFormat="1" applyFont="1" applyFill="1"/>
    <xf numFmtId="0" fontId="13" fillId="3" borderId="0" xfId="6" applyFont="1" applyFill="1"/>
    <xf numFmtId="0" fontId="20" fillId="4" borderId="0" xfId="0" applyFont="1" applyFill="1" applyAlignment="1">
      <alignment horizontal="right"/>
    </xf>
    <xf numFmtId="164" fontId="17" fillId="4" borderId="0" xfId="2" applyNumberFormat="1" applyFont="1" applyFill="1" applyAlignment="1">
      <alignment horizontal="right"/>
    </xf>
    <xf numFmtId="164" fontId="5" fillId="3" borderId="0" xfId="1" applyNumberFormat="1" applyFont="1" applyFill="1" applyAlignment="1">
      <alignment horizontal="right"/>
    </xf>
    <xf numFmtId="3" fontId="14" fillId="3" borderId="0" xfId="0" applyNumberFormat="1" applyFont="1" applyFill="1"/>
    <xf numFmtId="3" fontId="32" fillId="3" borderId="0" xfId="0" applyNumberFormat="1" applyFont="1" applyFill="1" applyAlignment="1">
      <alignment horizontal="right"/>
    </xf>
    <xf numFmtId="164" fontId="20" fillId="4" borderId="0" xfId="1" applyNumberFormat="1" applyFont="1" applyFill="1" applyAlignment="1">
      <alignment horizontal="right"/>
    </xf>
    <xf numFmtId="164" fontId="20" fillId="4" borderId="0" xfId="1" applyNumberFormat="1" applyFont="1" applyFill="1" applyAlignment="1"/>
    <xf numFmtId="0" fontId="16" fillId="3" borderId="0" xfId="6" applyFont="1" applyFill="1"/>
    <xf numFmtId="164" fontId="16" fillId="3" borderId="0" xfId="2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6" fillId="3" borderId="0" xfId="0" applyFont="1" applyFill="1" applyAlignment="1">
      <alignment horizontal="center"/>
    </xf>
    <xf numFmtId="3" fontId="20" fillId="4" borderId="0" xfId="0" applyNumberFormat="1" applyFont="1" applyFill="1" applyAlignment="1">
      <alignment horizontal="right"/>
    </xf>
    <xf numFmtId="3" fontId="20" fillId="4" borderId="0" xfId="0" applyNumberFormat="1" applyFont="1" applyFill="1"/>
    <xf numFmtId="3" fontId="5" fillId="3" borderId="0" xfId="0" applyNumberFormat="1" applyFont="1" applyFill="1"/>
    <xf numFmtId="3" fontId="20" fillId="3" borderId="0" xfId="0" applyNumberFormat="1" applyFont="1" applyFill="1" applyAlignment="1">
      <alignment horizontal="right"/>
    </xf>
    <xf numFmtId="3" fontId="20" fillId="3" borderId="0" xfId="0" applyNumberFormat="1" applyFont="1" applyFill="1"/>
    <xf numFmtId="0" fontId="24" fillId="3" borderId="0" xfId="0" applyFont="1" applyFill="1"/>
    <xf numFmtId="3" fontId="4" fillId="3" borderId="0" xfId="0" applyNumberFormat="1" applyFont="1" applyFill="1" applyAlignment="1">
      <alignment horizontal="right"/>
    </xf>
    <xf numFmtId="0" fontId="24" fillId="3" borderId="0" xfId="0" applyFont="1" applyFill="1" applyAlignment="1">
      <alignment horizontal="right"/>
    </xf>
    <xf numFmtId="164" fontId="13" fillId="3" borderId="0" xfId="3" applyNumberFormat="1" applyFont="1" applyFill="1" applyAlignment="1">
      <alignment horizontal="right"/>
    </xf>
    <xf numFmtId="164" fontId="12" fillId="3" borderId="0" xfId="3" applyNumberFormat="1" applyFont="1" applyFill="1" applyAlignment="1">
      <alignment horizontal="right"/>
    </xf>
    <xf numFmtId="164" fontId="12" fillId="3" borderId="0" xfId="3" applyNumberFormat="1" applyFont="1" applyFill="1"/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164" fontId="12" fillId="0" borderId="0" xfId="3" applyNumberFormat="1" applyFont="1" applyFill="1" applyBorder="1"/>
    <xf numFmtId="3" fontId="33" fillId="3" borderId="0" xfId="0" applyNumberFormat="1" applyFont="1" applyFill="1" applyAlignment="1">
      <alignment horizontal="right"/>
    </xf>
    <xf numFmtId="3" fontId="30" fillId="3" borderId="0" xfId="0" applyNumberFormat="1" applyFont="1" applyFill="1" applyAlignment="1">
      <alignment horizontal="right"/>
    </xf>
    <xf numFmtId="0" fontId="25" fillId="3" borderId="0" xfId="0" applyFont="1" applyFill="1"/>
    <xf numFmtId="0" fontId="26" fillId="3" borderId="0" xfId="0" applyFont="1" applyFill="1" applyAlignment="1">
      <alignment horizontal="left"/>
    </xf>
    <xf numFmtId="0" fontId="34" fillId="3" borderId="0" xfId="0" applyFont="1" applyFill="1" applyAlignment="1">
      <alignment horizontal="right" wrapText="1"/>
    </xf>
    <xf numFmtId="0" fontId="28" fillId="3" borderId="0" xfId="0" applyFont="1" applyFill="1"/>
    <xf numFmtId="0" fontId="29" fillId="3" borderId="0" xfId="0" applyFont="1" applyFill="1"/>
    <xf numFmtId="3" fontId="21" fillId="3" borderId="0" xfId="0" applyNumberFormat="1" applyFont="1" applyFill="1" applyAlignment="1">
      <alignment horizontal="right"/>
    </xf>
    <xf numFmtId="3" fontId="21" fillId="3" borderId="0" xfId="0" applyNumberFormat="1" applyFont="1" applyFill="1"/>
    <xf numFmtId="0" fontId="12" fillId="3" borderId="0" xfId="0" applyFont="1" applyFill="1" applyAlignment="1">
      <alignment horizontal="center"/>
    </xf>
    <xf numFmtId="0" fontId="31" fillId="3" borderId="0" xfId="0" applyFont="1" applyFill="1" applyAlignment="1">
      <alignment horizontal="right"/>
    </xf>
    <xf numFmtId="0" fontId="12" fillId="3" borderId="0" xfId="6" applyFont="1" applyFill="1" applyAlignment="1">
      <alignment horizontal="center"/>
    </xf>
    <xf numFmtId="164" fontId="12" fillId="3" borderId="0" xfId="2" applyNumberFormat="1" applyFont="1" applyFill="1" applyAlignment="1">
      <alignment horizontal="right"/>
    </xf>
    <xf numFmtId="164" fontId="12" fillId="0" borderId="0" xfId="2" applyNumberFormat="1" applyFont="1" applyFill="1" applyAlignment="1">
      <alignment horizontal="right"/>
    </xf>
    <xf numFmtId="164" fontId="12" fillId="0" borderId="0" xfId="1" applyNumberFormat="1" applyFont="1" applyFill="1"/>
    <xf numFmtId="164" fontId="4" fillId="3" borderId="0" xfId="1" applyNumberFormat="1" applyFont="1" applyFill="1" applyAlignment="1">
      <alignment horizontal="right"/>
    </xf>
    <xf numFmtId="164" fontId="20" fillId="3" borderId="0" xfId="2" applyNumberFormat="1" applyFont="1" applyFill="1" applyAlignment="1">
      <alignment horizontal="right"/>
    </xf>
    <xf numFmtId="164" fontId="20" fillId="3" borderId="0" xfId="2" applyNumberFormat="1" applyFont="1" applyFill="1"/>
    <xf numFmtId="164" fontId="14" fillId="0" borderId="0" xfId="2" applyNumberFormat="1" applyFont="1" applyFill="1"/>
    <xf numFmtId="37" fontId="6" fillId="3" borderId="0" xfId="0" applyNumberFormat="1" applyFont="1" applyFill="1" applyAlignment="1">
      <alignment horizontal="right"/>
    </xf>
    <xf numFmtId="37" fontId="6" fillId="3" borderId="0" xfId="0" applyNumberFormat="1" applyFont="1" applyFill="1"/>
    <xf numFmtId="0" fontId="12" fillId="3" borderId="0" xfId="0" quotePrefix="1" applyFont="1" applyFill="1"/>
    <xf numFmtId="0" fontId="4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" fontId="35" fillId="2" borderId="1" xfId="0" applyNumberFormat="1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/>
    </xf>
    <xf numFmtId="1" fontId="36" fillId="2" borderId="5" xfId="0" applyNumberFormat="1" applyFont="1" applyFill="1" applyBorder="1" applyAlignment="1">
      <alignment horizontal="right"/>
    </xf>
    <xf numFmtId="1" fontId="35" fillId="2" borderId="5" xfId="0" applyNumberFormat="1" applyFont="1" applyFill="1" applyBorder="1" applyAlignment="1">
      <alignment horizontal="right"/>
    </xf>
    <xf numFmtId="1" fontId="35" fillId="2" borderId="5" xfId="0" applyNumberFormat="1" applyFont="1" applyFill="1" applyBorder="1" applyAlignment="1">
      <alignment horizontal="center"/>
    </xf>
    <xf numFmtId="1" fontId="35" fillId="2" borderId="4" xfId="0" applyNumberFormat="1" applyFont="1" applyFill="1" applyBorder="1" applyAlignment="1">
      <alignment horizontal="right"/>
    </xf>
    <xf numFmtId="0" fontId="35" fillId="2" borderId="5" xfId="0" applyFont="1" applyFill="1" applyBorder="1" applyAlignment="1">
      <alignment horizontal="right"/>
    </xf>
    <xf numFmtId="0" fontId="35" fillId="2" borderId="4" xfId="0" applyFont="1" applyFill="1" applyBorder="1" applyAlignment="1">
      <alignment horizontal="right"/>
    </xf>
    <xf numFmtId="0" fontId="34" fillId="2" borderId="3" xfId="0" applyFont="1" applyFill="1" applyBorder="1" applyAlignment="1">
      <alignment horizontal="left"/>
    </xf>
    <xf numFmtId="3" fontId="4" fillId="0" borderId="0" xfId="0" applyNumberFormat="1" applyFont="1"/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Comma 3 2" xfId="4" xr:uid="{00000000-0005-0000-0000-000003000000}"/>
    <cellStyle name="Comma 4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847725</xdr:colOff>
      <xdr:row>1</xdr:row>
      <xdr:rowOff>276225</xdr:rowOff>
    </xdr:to>
    <xdr:pic>
      <xdr:nvPicPr>
        <xdr:cNvPr id="1180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302F72B2-AAB8-4EF1-9AA4-3EA73948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847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847725</xdr:colOff>
      <xdr:row>1</xdr:row>
      <xdr:rowOff>276225</xdr:rowOff>
    </xdr:to>
    <xdr:pic>
      <xdr:nvPicPr>
        <xdr:cNvPr id="2191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D27FF757-B555-44E7-9F75-85A7700E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143"/>
  <sheetViews>
    <sheetView showGridLines="0" tabSelected="1" zoomScaleNormal="100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W1" sqref="W1"/>
    </sheetView>
  </sheetViews>
  <sheetFormatPr defaultColWidth="11.42578125" defaultRowHeight="12.75" x14ac:dyDescent="0.2"/>
  <cols>
    <col min="1" max="1" width="3.7109375" style="1" customWidth="1"/>
    <col min="2" max="2" width="68" style="1" customWidth="1"/>
    <col min="3" max="4" width="12.7109375" style="1" customWidth="1"/>
    <col min="5" max="5" width="11.42578125" style="1"/>
    <col min="6" max="6" width="12.42578125" style="1" bestFit="1" customWidth="1"/>
    <col min="7" max="8" width="11.42578125" style="1"/>
    <col min="9" max="9" width="11.42578125" style="1" customWidth="1"/>
    <col min="10" max="12" width="11.42578125" style="1"/>
    <col min="13" max="13" width="11.42578125" style="1" customWidth="1"/>
    <col min="14" max="19" width="11.42578125" style="1"/>
    <col min="20" max="20" width="11.42578125" style="1" customWidth="1"/>
    <col min="21" max="22" width="11.42578125" style="1"/>
    <col min="23" max="24" width="11.42578125" style="1" customWidth="1"/>
    <col min="25" max="25" width="11.42578125" style="1"/>
    <col min="26" max="26" width="14.28515625" style="1" bestFit="1" customWidth="1"/>
    <col min="27" max="16384" width="11.42578125" style="1"/>
  </cols>
  <sheetData>
    <row r="1" spans="1:27" ht="39.950000000000003" customHeight="1" x14ac:dyDescent="0.2"/>
    <row r="2" spans="1:27" ht="23.25" customHeight="1" thickBot="1" x14ac:dyDescent="0.25"/>
    <row r="3" spans="1:27" ht="15.95" customHeight="1" thickBot="1" x14ac:dyDescent="0.25">
      <c r="B3" s="150" t="s">
        <v>102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55"/>
    </row>
    <row r="4" spans="1:27" ht="9.75" customHeight="1" thickBot="1" x14ac:dyDescent="0.25"/>
    <row r="5" spans="1:27" ht="18.95" customHeight="1" thickBot="1" x14ac:dyDescent="0.25">
      <c r="B5" s="3" t="s">
        <v>22</v>
      </c>
      <c r="C5" s="141" t="s">
        <v>93</v>
      </c>
      <c r="D5" s="141" t="s">
        <v>94</v>
      </c>
      <c r="E5" s="141" t="s">
        <v>95</v>
      </c>
      <c r="F5" s="141" t="s">
        <v>96</v>
      </c>
      <c r="G5" s="141" t="s">
        <v>97</v>
      </c>
      <c r="H5" s="141" t="s">
        <v>98</v>
      </c>
      <c r="I5" s="141" t="s">
        <v>99</v>
      </c>
      <c r="J5" s="141" t="s">
        <v>100</v>
      </c>
      <c r="K5" s="141" t="s">
        <v>101</v>
      </c>
      <c r="L5" s="141" t="s">
        <v>103</v>
      </c>
      <c r="M5" s="141" t="s">
        <v>104</v>
      </c>
      <c r="N5" s="141" t="s">
        <v>105</v>
      </c>
      <c r="O5" s="141" t="s">
        <v>106</v>
      </c>
      <c r="P5" s="141" t="s">
        <v>107</v>
      </c>
      <c r="Q5" s="141" t="s">
        <v>108</v>
      </c>
      <c r="R5" s="141" t="s">
        <v>109</v>
      </c>
      <c r="S5" s="141" t="s">
        <v>110</v>
      </c>
      <c r="T5" s="141" t="s">
        <v>111</v>
      </c>
      <c r="U5" s="141" t="s">
        <v>112</v>
      </c>
      <c r="V5" s="141" t="s">
        <v>113</v>
      </c>
      <c r="W5" s="141" t="s">
        <v>114</v>
      </c>
      <c r="X5" s="141" t="s">
        <v>115</v>
      </c>
      <c r="Y5" s="141" t="s">
        <v>116</v>
      </c>
      <c r="Z5" s="141" t="s">
        <v>117</v>
      </c>
      <c r="AA5" s="143" t="s">
        <v>118</v>
      </c>
    </row>
    <row r="6" spans="1:27" ht="15" customHeight="1" x14ac:dyDescent="0.2">
      <c r="A6" s="4">
        <v>1</v>
      </c>
      <c r="B6" s="5" t="s">
        <v>33</v>
      </c>
    </row>
    <row r="7" spans="1:27" s="2" customFormat="1" ht="15" customHeight="1" x14ac:dyDescent="0.15">
      <c r="A7" s="4"/>
      <c r="B7" s="6" t="s">
        <v>83</v>
      </c>
      <c r="C7" s="7">
        <v>119</v>
      </c>
      <c r="D7" s="7">
        <v>119</v>
      </c>
      <c r="E7" s="7">
        <v>119</v>
      </c>
      <c r="F7" s="7">
        <v>119.041</v>
      </c>
      <c r="G7" s="7">
        <v>118.801</v>
      </c>
      <c r="H7" s="7">
        <v>118.04976000000001</v>
      </c>
      <c r="I7" s="7">
        <v>118.04976000000001</v>
      </c>
      <c r="J7" s="7">
        <v>117.96481</v>
      </c>
      <c r="K7" s="7">
        <v>117.80182000000001</v>
      </c>
      <c r="L7" s="7">
        <v>117.58337</v>
      </c>
      <c r="M7" s="7">
        <v>117.38888</v>
      </c>
      <c r="N7" s="7">
        <v>117.22766</v>
      </c>
      <c r="O7" s="7">
        <v>117.05692999999999</v>
      </c>
      <c r="P7" s="7">
        <v>116.22978999999999</v>
      </c>
      <c r="Q7" s="7">
        <v>119.19392000000001</v>
      </c>
      <c r="R7" s="7">
        <v>117.96003</v>
      </c>
      <c r="S7" s="7">
        <v>116.77657000000001</v>
      </c>
      <c r="T7" s="7">
        <v>115.44302999999999</v>
      </c>
      <c r="U7" s="7">
        <v>114.38979</v>
      </c>
      <c r="V7" s="7">
        <v>11681.0897</v>
      </c>
      <c r="W7" s="7">
        <v>14920.86643</v>
      </c>
      <c r="X7" s="7">
        <v>1271.2604799999999</v>
      </c>
      <c r="Y7" s="7">
        <v>964.39823000000001</v>
      </c>
      <c r="Z7" s="7">
        <v>2465.3000900000002</v>
      </c>
      <c r="AA7" s="7">
        <v>854.62162000000001</v>
      </c>
    </row>
    <row r="8" spans="1:27" s="2" customFormat="1" ht="15" customHeight="1" x14ac:dyDescent="0.15">
      <c r="A8" s="4"/>
      <c r="B8" s="8" t="s">
        <v>84</v>
      </c>
      <c r="C8" s="7">
        <f t="shared" ref="C8" si="0">C9+C14</f>
        <v>4284776</v>
      </c>
      <c r="D8" s="7">
        <f t="shared" ref="D8" si="1">D9+D14</f>
        <v>2682003</v>
      </c>
      <c r="E8" s="7">
        <f t="shared" ref="E8:F8" si="2">E9+E14</f>
        <v>2694217</v>
      </c>
      <c r="F8" s="7">
        <f t="shared" si="2"/>
        <v>4053729.5409999997</v>
      </c>
      <c r="G8" s="7">
        <f t="shared" ref="G8:L8" si="3">G9+G14</f>
        <v>4019189.4303199998</v>
      </c>
      <c r="H8" s="7">
        <f t="shared" si="3"/>
        <v>4649194.9504500004</v>
      </c>
      <c r="I8" s="7">
        <f t="shared" si="3"/>
        <v>5530822.4994800007</v>
      </c>
      <c r="J8" s="7">
        <f t="shared" si="3"/>
        <v>4641756.8711700011</v>
      </c>
      <c r="K8" s="7">
        <f t="shared" si="3"/>
        <v>5902785.8449900001</v>
      </c>
      <c r="L8" s="7">
        <f t="shared" si="3"/>
        <v>4157797.6886599995</v>
      </c>
      <c r="M8" s="7">
        <f t="shared" ref="M8:N8" si="4">M9+M14</f>
        <v>3836528.8841800001</v>
      </c>
      <c r="N8" s="7">
        <f t="shared" si="4"/>
        <v>3558332.3627999993</v>
      </c>
      <c r="O8" s="7">
        <f t="shared" ref="O8:P8" si="5">O9+O14</f>
        <v>4415619.8425900005</v>
      </c>
      <c r="P8" s="7">
        <f t="shared" si="5"/>
        <v>3317466.5318499999</v>
      </c>
      <c r="Q8" s="7">
        <f t="shared" ref="Q8:R8" si="6">Q9+Q14</f>
        <v>5129065.8783199992</v>
      </c>
      <c r="R8" s="7">
        <f t="shared" si="6"/>
        <v>3400196.1210500002</v>
      </c>
      <c r="S8" s="7">
        <f t="shared" ref="S8:T8" si="7">S9+S14</f>
        <v>3560160.18854</v>
      </c>
      <c r="T8" s="7">
        <f t="shared" si="7"/>
        <v>3295488.6549999998</v>
      </c>
      <c r="U8" s="7">
        <f t="shared" ref="U8:V8" si="8">U9+U14</f>
        <v>5119016.0209900001</v>
      </c>
      <c r="V8" s="7">
        <f t="shared" si="8"/>
        <v>3882428.45206</v>
      </c>
      <c r="W8" s="7">
        <f t="shared" ref="W8:X8" si="9">W9+W14</f>
        <v>4540522.5865799999</v>
      </c>
      <c r="X8" s="7">
        <f t="shared" si="9"/>
        <v>4850420.4528200002</v>
      </c>
      <c r="Y8" s="7">
        <f t="shared" ref="Y8:Z8" si="10">Y9+Y14</f>
        <v>4439077.6454600003</v>
      </c>
      <c r="Z8" s="7">
        <f t="shared" si="10"/>
        <v>3844738.5429599998</v>
      </c>
      <c r="AA8" s="7">
        <f>AA9+AA14</f>
        <v>3864732.7496100003</v>
      </c>
    </row>
    <row r="9" spans="1:27" ht="15" customHeight="1" x14ac:dyDescent="0.2">
      <c r="B9" s="9" t="s">
        <v>34</v>
      </c>
      <c r="C9" s="7">
        <f t="shared" ref="C9" si="11">C10+C11</f>
        <v>78094</v>
      </c>
      <c r="D9" s="7">
        <f t="shared" ref="D9" si="12">D10+D11</f>
        <v>9984</v>
      </c>
      <c r="E9" s="7">
        <f t="shared" ref="E9:G9" si="13">E10+E11</f>
        <v>47861</v>
      </c>
      <c r="F9" s="7">
        <f t="shared" si="13"/>
        <v>8554.8860000000004</v>
      </c>
      <c r="G9" s="7">
        <f t="shared" si="13"/>
        <v>7452.085</v>
      </c>
      <c r="H9" s="7">
        <f t="shared" ref="H9:I9" si="14">H10+H11</f>
        <v>6230.2012999999997</v>
      </c>
      <c r="I9" s="7">
        <f t="shared" si="14"/>
        <v>8990.0505200000007</v>
      </c>
      <c r="J9" s="7">
        <f t="shared" ref="J9:K9" si="15">J10+J11</f>
        <v>10991.67585</v>
      </c>
      <c r="K9" s="7">
        <f t="shared" si="15"/>
        <v>8881.7748900000006</v>
      </c>
      <c r="L9" s="7">
        <f t="shared" ref="L9:M9" si="16">L10+L11</f>
        <v>6449.35671</v>
      </c>
      <c r="M9" s="7">
        <f t="shared" si="16"/>
        <v>6038.21</v>
      </c>
      <c r="N9" s="7">
        <f t="shared" ref="N9:O9" si="17">N10+N11</f>
        <v>17690.222470000001</v>
      </c>
      <c r="O9" s="7">
        <f t="shared" si="17"/>
        <v>47475.698060000002</v>
      </c>
      <c r="P9" s="7">
        <f t="shared" ref="P9:Q9" si="18">P10+P11</f>
        <v>42917.745690000003</v>
      </c>
      <c r="Q9" s="7">
        <f t="shared" si="18"/>
        <v>43986.080889999997</v>
      </c>
      <c r="R9" s="7">
        <f t="shared" ref="R9:S9" si="19">R10+R11</f>
        <v>52261.093229999999</v>
      </c>
      <c r="S9" s="7">
        <f t="shared" si="19"/>
        <v>46211.426820000001</v>
      </c>
      <c r="T9" s="7">
        <f t="shared" ref="T9:U9" si="20">T10+T11</f>
        <v>42521.126530000001</v>
      </c>
      <c r="U9" s="7">
        <f t="shared" si="20"/>
        <v>39362.176169999999</v>
      </c>
      <c r="V9" s="7">
        <f t="shared" ref="V9:W9" si="21">V10+V11</f>
        <v>39380.162710000004</v>
      </c>
      <c r="W9" s="7">
        <f t="shared" si="21"/>
        <v>41407.447929999995</v>
      </c>
      <c r="X9" s="7">
        <f t="shared" ref="X9:Y9" si="22">X10+X11</f>
        <v>39715.468419999997</v>
      </c>
      <c r="Y9" s="7">
        <f t="shared" si="22"/>
        <v>42054.456720000002</v>
      </c>
      <c r="Z9" s="7">
        <f>SUM(Z10:Z12)</f>
        <v>40469.123530000004</v>
      </c>
      <c r="AA9" s="7">
        <f>SUM(AA10:AA12)</f>
        <v>39454.445319999999</v>
      </c>
    </row>
    <row r="10" spans="1:27" s="10" customFormat="1" ht="15" customHeight="1" x14ac:dyDescent="0.15">
      <c r="B10" s="11" t="s">
        <v>41</v>
      </c>
      <c r="C10" s="20">
        <f>9598+0</f>
        <v>9598</v>
      </c>
      <c r="D10" s="20">
        <f>9612+0</f>
        <v>9612</v>
      </c>
      <c r="E10" s="20">
        <f>47861+0</f>
        <v>47861</v>
      </c>
      <c r="F10" s="20">
        <f>8554.641+0</f>
        <v>8554.6409999999996</v>
      </c>
      <c r="G10" s="20">
        <f>7451.83</f>
        <v>7451.83</v>
      </c>
      <c r="H10" s="20">
        <v>6229.9462999999996</v>
      </c>
      <c r="I10" s="20">
        <v>8990.0505200000007</v>
      </c>
      <c r="J10" s="20">
        <v>10991.67585</v>
      </c>
      <c r="K10" s="20">
        <v>8881.7748900000006</v>
      </c>
      <c r="L10" s="20">
        <v>6449.35671</v>
      </c>
      <c r="M10" s="20">
        <v>6038.21</v>
      </c>
      <c r="N10" s="20">
        <v>17690.222470000001</v>
      </c>
      <c r="O10" s="20">
        <v>47475.698060000002</v>
      </c>
      <c r="P10" s="20">
        <v>42917.745690000003</v>
      </c>
      <c r="Q10" s="20">
        <v>43986.080889999997</v>
      </c>
      <c r="R10" s="20">
        <v>52261.093229999999</v>
      </c>
      <c r="S10" s="20">
        <v>46211.426820000001</v>
      </c>
      <c r="T10" s="20">
        <v>42521.126530000001</v>
      </c>
      <c r="U10" s="20">
        <f>36915.08582+2447.09035</f>
        <v>39362.176169999999</v>
      </c>
      <c r="V10" s="20">
        <f>34804.40864+4575.75407</f>
        <v>39380.162710000004</v>
      </c>
      <c r="W10" s="20">
        <f>38501.31995+2906.12798</f>
        <v>41407.447929999995</v>
      </c>
      <c r="X10" s="20">
        <f>36439.3665+3276.10192</f>
        <v>39715.468419999997</v>
      </c>
      <c r="Y10" s="20">
        <f>13081.05872+0</f>
        <v>13081.058720000001</v>
      </c>
      <c r="Z10" s="20">
        <v>10430.57357</v>
      </c>
      <c r="AA10" s="20">
        <v>9281.2849399999996</v>
      </c>
    </row>
    <row r="11" spans="1:27" s="10" customFormat="1" ht="15" customHeight="1" x14ac:dyDescent="0.15">
      <c r="B11" s="11" t="s">
        <v>40</v>
      </c>
      <c r="C11" s="20">
        <v>68496</v>
      </c>
      <c r="D11" s="20">
        <v>372</v>
      </c>
      <c r="E11" s="20">
        <v>0</v>
      </c>
      <c r="F11" s="20">
        <v>0.245</v>
      </c>
      <c r="G11" s="20">
        <v>0.255</v>
      </c>
      <c r="H11" s="20">
        <v>0.255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28973.398000000001</v>
      </c>
      <c r="Z11" s="20">
        <v>29953.541000000001</v>
      </c>
      <c r="AA11" s="20">
        <v>29976.208999999999</v>
      </c>
    </row>
    <row r="12" spans="1:27" s="10" customFormat="1" ht="15" customHeight="1" x14ac:dyDescent="0.15">
      <c r="B12" s="11" t="s">
        <v>71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85.008960000000002</v>
      </c>
      <c r="AA12" s="20">
        <v>196.95138</v>
      </c>
    </row>
    <row r="13" spans="1:27" s="13" customFormat="1" ht="14.1" customHeight="1" x14ac:dyDescent="0.15">
      <c r="B13" s="14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15" customHeight="1" x14ac:dyDescent="0.2">
      <c r="B14" s="9" t="s">
        <v>35</v>
      </c>
      <c r="C14" s="7">
        <f t="shared" ref="C14" si="23">SUM(C15:C19)</f>
        <v>4206682</v>
      </c>
      <c r="D14" s="7">
        <f t="shared" ref="D14" si="24">SUM(D15:D19)</f>
        <v>2672019</v>
      </c>
      <c r="E14" s="7">
        <f t="shared" ref="E14:G14" si="25">SUM(E15:E19)</f>
        <v>2646356</v>
      </c>
      <c r="F14" s="7">
        <f t="shared" si="25"/>
        <v>4045174.6549999998</v>
      </c>
      <c r="G14" s="7">
        <f t="shared" si="25"/>
        <v>4011737.3453199998</v>
      </c>
      <c r="H14" s="7">
        <f t="shared" ref="H14:I14" si="26">SUM(H15:H19)</f>
        <v>4642964.7491500005</v>
      </c>
      <c r="I14" s="7">
        <f t="shared" si="26"/>
        <v>5521832.4489600006</v>
      </c>
      <c r="J14" s="7">
        <f t="shared" ref="J14:K14" si="27">SUM(J15:J19)</f>
        <v>4630765.1953200009</v>
      </c>
      <c r="K14" s="7">
        <f t="shared" si="27"/>
        <v>5893904.0701000001</v>
      </c>
      <c r="L14" s="7">
        <f t="shared" ref="L14:M14" si="28">SUM(L15:L19)</f>
        <v>4151348.3319499996</v>
      </c>
      <c r="M14" s="7">
        <f t="shared" si="28"/>
        <v>3830490.6741800001</v>
      </c>
      <c r="N14" s="7">
        <f t="shared" ref="N14:O14" si="29">SUM(N15:N19)</f>
        <v>3540642.1403299994</v>
      </c>
      <c r="O14" s="7">
        <f t="shared" si="29"/>
        <v>4368144.1445300002</v>
      </c>
      <c r="P14" s="7">
        <f t="shared" ref="P14:Q14" si="30">SUM(P15:P19)</f>
        <v>3274548.7861600001</v>
      </c>
      <c r="Q14" s="7">
        <f t="shared" si="30"/>
        <v>5085079.7974299993</v>
      </c>
      <c r="R14" s="7">
        <f t="shared" ref="R14:S14" si="31">SUM(R15:R19)</f>
        <v>3347935.0278200004</v>
      </c>
      <c r="S14" s="7">
        <f t="shared" si="31"/>
        <v>3513948.7617199998</v>
      </c>
      <c r="T14" s="7">
        <f t="shared" ref="T14:U14" si="32">SUM(T15:T19)</f>
        <v>3252967.5284699998</v>
      </c>
      <c r="U14" s="7">
        <f t="shared" si="32"/>
        <v>5079653.8448200002</v>
      </c>
      <c r="V14" s="7">
        <f t="shared" ref="V14:W14" si="33">SUM(V15:V19)</f>
        <v>3843048.2893500002</v>
      </c>
      <c r="W14" s="7">
        <f t="shared" si="33"/>
        <v>4499115.1386500001</v>
      </c>
      <c r="X14" s="7">
        <f t="shared" ref="X14:Y14" si="34">SUM(X15:X19)</f>
        <v>4810704.9844000004</v>
      </c>
      <c r="Y14" s="7">
        <f t="shared" si="34"/>
        <v>4397023.1887400001</v>
      </c>
      <c r="Z14" s="7">
        <f t="shared" ref="Z14:AA14" si="35">SUM(Z15:Z19)</f>
        <v>3804269.4194299998</v>
      </c>
      <c r="AA14" s="7">
        <f t="shared" si="35"/>
        <v>3825278.3042900003</v>
      </c>
    </row>
    <row r="15" spans="1:27" s="10" customFormat="1" ht="15" customHeight="1" x14ac:dyDescent="0.15">
      <c r="B15" s="11" t="s">
        <v>20</v>
      </c>
      <c r="C15" s="20">
        <v>4195723</v>
      </c>
      <c r="D15" s="20">
        <v>2664702</v>
      </c>
      <c r="E15" s="20">
        <v>2583519</v>
      </c>
      <c r="F15" s="20">
        <v>4039791.0389999999</v>
      </c>
      <c r="G15" s="20">
        <v>3833809.31226</v>
      </c>
      <c r="H15" s="20">
        <v>4519020.3692100001</v>
      </c>
      <c r="I15" s="20">
        <v>3640152.8640100001</v>
      </c>
      <c r="J15" s="20">
        <v>4515843.1527300002</v>
      </c>
      <c r="K15" s="20">
        <v>5803100.9797599996</v>
      </c>
      <c r="L15" s="20">
        <v>4096046.0861</v>
      </c>
      <c r="M15" s="20">
        <v>3479132.9689500001</v>
      </c>
      <c r="N15" s="20">
        <v>3425223.7222699998</v>
      </c>
      <c r="O15" s="20">
        <v>4239297.5690000001</v>
      </c>
      <c r="P15" s="20">
        <v>3031722.3471900001</v>
      </c>
      <c r="Q15" s="20">
        <v>4636934.0049099997</v>
      </c>
      <c r="R15" s="20">
        <v>2965915.5059000002</v>
      </c>
      <c r="S15" s="20">
        <v>3169733.22523</v>
      </c>
      <c r="T15" s="20">
        <v>3020690.3047199999</v>
      </c>
      <c r="U15" s="20">
        <v>4625307.7736999998</v>
      </c>
      <c r="V15" s="20">
        <v>3488822.7978500002</v>
      </c>
      <c r="W15" s="20">
        <v>4122676.1499899998</v>
      </c>
      <c r="X15" s="20">
        <v>4255466.2004000004</v>
      </c>
      <c r="Y15" s="20">
        <v>3722464.5193400001</v>
      </c>
      <c r="Z15" s="20">
        <v>3304206.2055899999</v>
      </c>
      <c r="AA15" s="20">
        <v>3113936.3649499998</v>
      </c>
    </row>
    <row r="16" spans="1:27" s="10" customFormat="1" ht="15" customHeight="1" x14ac:dyDescent="0.15">
      <c r="B16" s="11" t="s">
        <v>42</v>
      </c>
      <c r="C16" s="20">
        <v>10947</v>
      </c>
      <c r="D16" s="20">
        <v>7299</v>
      </c>
      <c r="E16" s="20">
        <v>62313</v>
      </c>
      <c r="F16" s="20">
        <v>5294.616</v>
      </c>
      <c r="G16" s="20">
        <v>177830.03305999999</v>
      </c>
      <c r="H16" s="20">
        <v>123840.37994</v>
      </c>
      <c r="I16" s="20">
        <v>1881570.6473399999</v>
      </c>
      <c r="J16" s="20">
        <v>114920.90545000001</v>
      </c>
      <c r="K16" s="20">
        <v>90802.986770000003</v>
      </c>
      <c r="L16" s="20">
        <v>55302.14228</v>
      </c>
      <c r="M16" s="20">
        <v>351357.60165999999</v>
      </c>
      <c r="N16" s="20">
        <v>115418.31449</v>
      </c>
      <c r="O16" s="20">
        <v>128846.57553</v>
      </c>
      <c r="P16" s="20">
        <v>242826.43896999999</v>
      </c>
      <c r="Q16" s="20">
        <v>448145.79252000002</v>
      </c>
      <c r="R16" s="20">
        <v>382019.52192000003</v>
      </c>
      <c r="S16" s="20">
        <v>344215.53649000003</v>
      </c>
      <c r="T16" s="20">
        <v>232277.22375</v>
      </c>
      <c r="U16" s="20">
        <v>454346.07111999998</v>
      </c>
      <c r="V16" s="20">
        <v>354225.4915</v>
      </c>
      <c r="W16" s="20">
        <v>376438.98865999997</v>
      </c>
      <c r="X16" s="20">
        <v>515112.44799999997</v>
      </c>
      <c r="Y16" s="20">
        <v>658814.35340000002</v>
      </c>
      <c r="Z16" s="20">
        <v>459667.47284</v>
      </c>
      <c r="AA16" s="20">
        <v>682968.08302000002</v>
      </c>
    </row>
    <row r="17" spans="1:27" s="10" customFormat="1" ht="15" customHeight="1" x14ac:dyDescent="0.15">
      <c r="B17" s="11" t="s">
        <v>71</v>
      </c>
      <c r="C17" s="2">
        <v>12</v>
      </c>
      <c r="D17" s="2">
        <v>18</v>
      </c>
      <c r="E17" s="2">
        <v>524</v>
      </c>
      <c r="F17" s="2">
        <v>89</v>
      </c>
      <c r="G17" s="2">
        <v>98</v>
      </c>
      <c r="H17" s="2">
        <v>104</v>
      </c>
      <c r="I17" s="20">
        <v>108.93761000000001</v>
      </c>
      <c r="J17" s="20">
        <v>1.13714</v>
      </c>
      <c r="K17" s="20">
        <v>0.10357</v>
      </c>
      <c r="L17" s="20">
        <v>0.10357</v>
      </c>
      <c r="M17" s="20">
        <v>0.10357</v>
      </c>
      <c r="N17" s="20">
        <v>0.10357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40126.336000000003</v>
      </c>
      <c r="Y17" s="20">
        <v>15744.316000000001</v>
      </c>
      <c r="Z17" s="20">
        <v>40395.741000000002</v>
      </c>
      <c r="AA17" s="20">
        <v>28364.256000000001</v>
      </c>
    </row>
    <row r="18" spans="1:27" s="10" customFormat="1" ht="15" customHeight="1" x14ac:dyDescent="0.15">
      <c r="B18" s="11" t="s">
        <v>75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9.60032</v>
      </c>
    </row>
    <row r="19" spans="1:27" s="10" customFormat="1" ht="15" customHeight="1" x14ac:dyDescent="0.15">
      <c r="B19" s="11" t="s">
        <v>80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</row>
    <row r="20" spans="1:27" ht="14.1" customHeight="1" x14ac:dyDescent="0.2">
      <c r="B20" s="16"/>
      <c r="C20" s="13"/>
      <c r="D20" s="13"/>
      <c r="E20" s="13"/>
      <c r="F20" s="13"/>
      <c r="G20" s="13"/>
      <c r="H20" s="13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s="2" customFormat="1" ht="15" customHeight="1" x14ac:dyDescent="0.15">
      <c r="A21" s="4">
        <v>2</v>
      </c>
      <c r="B21" s="6" t="s">
        <v>43</v>
      </c>
      <c r="C21" s="7">
        <f t="shared" ref="C21" si="36">C22+C31</f>
        <v>307878</v>
      </c>
      <c r="D21" s="7">
        <f t="shared" ref="D21" si="37">D22+D31</f>
        <v>70495</v>
      </c>
      <c r="E21" s="7">
        <f t="shared" ref="E21:F21" si="38">E22+E31</f>
        <v>70014</v>
      </c>
      <c r="F21" s="7">
        <f t="shared" si="38"/>
        <v>69993.486999999994</v>
      </c>
      <c r="G21" s="7">
        <f t="shared" ref="G21:L21" si="39">G22+G31</f>
        <v>69999.164829999994</v>
      </c>
      <c r="H21" s="7">
        <f t="shared" si="39"/>
        <v>69992.612059999999</v>
      </c>
      <c r="I21" s="7">
        <f t="shared" si="39"/>
        <v>70001.133579999994</v>
      </c>
      <c r="J21" s="7">
        <f t="shared" si="39"/>
        <v>70001.10927999999</v>
      </c>
      <c r="K21" s="7">
        <f t="shared" si="39"/>
        <v>69968.413439999989</v>
      </c>
      <c r="L21" s="7">
        <f t="shared" si="39"/>
        <v>69844.095389999988</v>
      </c>
      <c r="M21" s="7">
        <f t="shared" ref="M21:N21" si="40">M22+M31</f>
        <v>69704.583209999997</v>
      </c>
      <c r="N21" s="7">
        <f t="shared" si="40"/>
        <v>69625.88012999999</v>
      </c>
      <c r="O21" s="7">
        <f t="shared" ref="O21:P21" si="41">O22+O31</f>
        <v>69560.518019999989</v>
      </c>
      <c r="P21" s="7">
        <f t="shared" si="41"/>
        <v>243320.88402</v>
      </c>
      <c r="Q21" s="7">
        <f t="shared" ref="Q21:R21" si="42">Q22+Q31</f>
        <v>243997.38854000001</v>
      </c>
      <c r="R21" s="7">
        <f t="shared" si="42"/>
        <v>195650.73468999998</v>
      </c>
      <c r="S21" s="7">
        <f t="shared" ref="S21:T21" si="43">S22+S31</f>
        <v>207050.75119000001</v>
      </c>
      <c r="T21" s="7">
        <f t="shared" si="43"/>
        <v>186356.36345999999</v>
      </c>
      <c r="U21" s="7">
        <f t="shared" ref="U21:V21" si="44">U22+U31</f>
        <v>178475.8</v>
      </c>
      <c r="V21" s="7">
        <f t="shared" si="44"/>
        <v>187958.38999999998</v>
      </c>
      <c r="W21" s="7">
        <f t="shared" ref="W21:X21" si="45">W22+W31</f>
        <v>173425.87</v>
      </c>
      <c r="X21" s="7">
        <f t="shared" si="45"/>
        <v>188050.25</v>
      </c>
      <c r="Y21" s="7">
        <f t="shared" ref="Y21:Z21" si="46">Y22+Y31</f>
        <v>179246.666</v>
      </c>
      <c r="Z21" s="7">
        <f t="shared" si="46"/>
        <v>189120.72560999999</v>
      </c>
      <c r="AA21" s="7">
        <f>AA22+AA31</f>
        <v>178456.76831000001</v>
      </c>
    </row>
    <row r="22" spans="1:27" s="17" customFormat="1" ht="15" customHeight="1" x14ac:dyDescent="0.2">
      <c r="B22" s="18" t="s">
        <v>34</v>
      </c>
      <c r="C22" s="19">
        <f t="shared" ref="C22" si="47">SUM(C23:C29)</f>
        <v>111979</v>
      </c>
      <c r="D22" s="19">
        <f t="shared" ref="D22" si="48">SUM(D23:D29)</f>
        <v>0</v>
      </c>
      <c r="E22" s="19">
        <f t="shared" ref="E22:G22" si="49">SUM(E23:E29)</f>
        <v>0</v>
      </c>
      <c r="F22" s="19">
        <f t="shared" si="49"/>
        <v>0</v>
      </c>
      <c r="G22" s="19">
        <f t="shared" si="49"/>
        <v>0</v>
      </c>
      <c r="H22" s="19">
        <f t="shared" ref="H22:I22" si="50">SUM(H23:H29)</f>
        <v>0</v>
      </c>
      <c r="I22" s="19">
        <f t="shared" si="50"/>
        <v>0</v>
      </c>
      <c r="J22" s="19">
        <f t="shared" ref="J22:K22" si="51">SUM(J23:J29)</f>
        <v>0</v>
      </c>
      <c r="K22" s="19">
        <f t="shared" si="51"/>
        <v>0</v>
      </c>
      <c r="L22" s="19">
        <f t="shared" ref="L22:M22" si="52">SUM(L23:L29)</f>
        <v>0</v>
      </c>
      <c r="M22" s="19">
        <f t="shared" si="52"/>
        <v>0</v>
      </c>
      <c r="N22" s="19">
        <f t="shared" ref="N22:O22" si="53">SUM(N23:N29)</f>
        <v>0</v>
      </c>
      <c r="O22" s="19">
        <f t="shared" si="53"/>
        <v>0</v>
      </c>
      <c r="P22" s="19">
        <f t="shared" ref="P22:Q22" si="54">SUM(P23:P29)</f>
        <v>0</v>
      </c>
      <c r="Q22" s="19">
        <f t="shared" si="54"/>
        <v>0</v>
      </c>
      <c r="R22" s="19">
        <f t="shared" ref="R22:S22" si="55">SUM(R23:R29)</f>
        <v>0</v>
      </c>
      <c r="S22" s="19">
        <f t="shared" si="55"/>
        <v>0</v>
      </c>
      <c r="T22" s="19">
        <f t="shared" ref="T22:U22" si="56">SUM(T23:T29)</f>
        <v>0</v>
      </c>
      <c r="U22" s="19">
        <f t="shared" si="56"/>
        <v>0</v>
      </c>
      <c r="V22" s="19">
        <f t="shared" ref="V22:W22" si="57">SUM(V23:V29)</f>
        <v>0</v>
      </c>
      <c r="W22" s="19">
        <f t="shared" si="57"/>
        <v>0</v>
      </c>
      <c r="X22" s="19">
        <f t="shared" ref="X22:Y22" si="58">SUM(X23:X29)</f>
        <v>0</v>
      </c>
      <c r="Y22" s="19">
        <f t="shared" si="58"/>
        <v>0</v>
      </c>
      <c r="Z22" s="19">
        <f t="shared" ref="Z22:AA22" si="59">SUM(Z23:Z29)</f>
        <v>0</v>
      </c>
      <c r="AA22" s="19">
        <f t="shared" si="59"/>
        <v>0</v>
      </c>
    </row>
    <row r="23" spans="1:27" s="10" customFormat="1" ht="15" customHeight="1" x14ac:dyDescent="0.15">
      <c r="B23" s="10" t="s">
        <v>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</row>
    <row r="24" spans="1:27" s="10" customFormat="1" ht="15" customHeight="1" x14ac:dyDescent="0.15">
      <c r="B24" s="10" t="s">
        <v>17</v>
      </c>
      <c r="C24" s="2">
        <v>0</v>
      </c>
      <c r="D24" s="2">
        <v>0</v>
      </c>
      <c r="E24" s="20">
        <v>0</v>
      </c>
      <c r="F24" s="20">
        <v>0</v>
      </c>
      <c r="G24" s="2">
        <v>0</v>
      </c>
      <c r="H24" s="2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</row>
    <row r="25" spans="1:27" s="10" customFormat="1" ht="15" customHeight="1" x14ac:dyDescent="0.15">
      <c r="B25" s="10" t="s">
        <v>18</v>
      </c>
      <c r="C25" s="2">
        <v>0</v>
      </c>
      <c r="D25" s="2">
        <v>0</v>
      </c>
      <c r="E25" s="20">
        <v>0</v>
      </c>
      <c r="F25" s="20">
        <v>0</v>
      </c>
      <c r="G25" s="2">
        <v>0</v>
      </c>
      <c r="H25" s="2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</row>
    <row r="26" spans="1:27" s="10" customFormat="1" ht="15" customHeight="1" x14ac:dyDescent="0.15">
      <c r="B26" s="11" t="s">
        <v>41</v>
      </c>
      <c r="C26" s="2">
        <v>0</v>
      </c>
      <c r="D26" s="2">
        <v>0</v>
      </c>
      <c r="E26" s="20">
        <v>0</v>
      </c>
      <c r="F26" s="20">
        <v>0</v>
      </c>
      <c r="G26" s="2">
        <v>0</v>
      </c>
      <c r="H26" s="2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</row>
    <row r="27" spans="1:27" s="10" customFormat="1" ht="15" customHeight="1" x14ac:dyDescent="0.15">
      <c r="B27" s="11" t="s">
        <v>40</v>
      </c>
      <c r="C27" s="2">
        <v>0</v>
      </c>
      <c r="D27" s="2">
        <v>0</v>
      </c>
      <c r="E27" s="20">
        <v>0</v>
      </c>
      <c r="F27" s="20">
        <v>0</v>
      </c>
      <c r="G27" s="2">
        <v>0</v>
      </c>
      <c r="H27" s="2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</row>
    <row r="28" spans="1:27" s="10" customFormat="1" ht="15" customHeight="1" x14ac:dyDescent="0.15">
      <c r="B28" s="11" t="s">
        <v>71</v>
      </c>
      <c r="C28" s="20">
        <v>111979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</row>
    <row r="29" spans="1:27" s="10" customFormat="1" ht="15" customHeight="1" x14ac:dyDescent="0.15">
      <c r="B29" s="21" t="s">
        <v>44</v>
      </c>
      <c r="C29" s="2">
        <v>0</v>
      </c>
      <c r="D29" s="2">
        <v>0</v>
      </c>
      <c r="E29" s="20">
        <v>0</v>
      </c>
      <c r="F29" s="20">
        <v>0</v>
      </c>
      <c r="G29" s="2">
        <v>0</v>
      </c>
      <c r="H29" s="2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</row>
    <row r="30" spans="1:27" s="13" customFormat="1" ht="14.1" customHeight="1" x14ac:dyDescent="0.15"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ht="15" customHeight="1" x14ac:dyDescent="0.2">
      <c r="B31" s="9" t="s">
        <v>35</v>
      </c>
      <c r="C31" s="7">
        <f t="shared" ref="C31" si="60">SUM(C32:C36)</f>
        <v>195899</v>
      </c>
      <c r="D31" s="7">
        <f>SUM(D32:D36)</f>
        <v>70495</v>
      </c>
      <c r="E31" s="7">
        <f>SUM(E32:E36)</f>
        <v>70014</v>
      </c>
      <c r="F31" s="7">
        <f>SUM(F32:F36)</f>
        <v>69993.486999999994</v>
      </c>
      <c r="G31" s="7">
        <f t="shared" ref="G31:H31" si="61">SUM(G32:G36)</f>
        <v>69999.164829999994</v>
      </c>
      <c r="H31" s="7">
        <f t="shared" si="61"/>
        <v>69992.612059999999</v>
      </c>
      <c r="I31" s="7">
        <f t="shared" ref="I31:J31" si="62">SUM(I32:I36)</f>
        <v>70001.133579999994</v>
      </c>
      <c r="J31" s="7">
        <f t="shared" si="62"/>
        <v>70001.10927999999</v>
      </c>
      <c r="K31" s="7">
        <f t="shared" ref="K31:L31" si="63">SUM(K32:K36)</f>
        <v>69968.413439999989</v>
      </c>
      <c r="L31" s="7">
        <f t="shared" si="63"/>
        <v>69844.095389999988</v>
      </c>
      <c r="M31" s="7">
        <f t="shared" ref="M31:N31" si="64">SUM(M32:M36)</f>
        <v>69704.583209999997</v>
      </c>
      <c r="N31" s="7">
        <f t="shared" si="64"/>
        <v>69625.88012999999</v>
      </c>
      <c r="O31" s="7">
        <f t="shared" ref="O31:P31" si="65">SUM(O32:O36)</f>
        <v>69560.518019999989</v>
      </c>
      <c r="P31" s="7">
        <f t="shared" si="65"/>
        <v>243320.88402</v>
      </c>
      <c r="Q31" s="7">
        <f t="shared" ref="Q31:R31" si="66">SUM(Q32:Q36)</f>
        <v>243997.38854000001</v>
      </c>
      <c r="R31" s="7">
        <f t="shared" si="66"/>
        <v>195650.73468999998</v>
      </c>
      <c r="S31" s="7">
        <f t="shared" ref="S31:T31" si="67">SUM(S32:S36)</f>
        <v>207050.75119000001</v>
      </c>
      <c r="T31" s="7">
        <f t="shared" si="67"/>
        <v>186356.36345999999</v>
      </c>
      <c r="U31" s="7">
        <f t="shared" ref="U31:V31" si="68">SUM(U32:U36)</f>
        <v>178475.8</v>
      </c>
      <c r="V31" s="7">
        <f t="shared" si="68"/>
        <v>187958.38999999998</v>
      </c>
      <c r="W31" s="7">
        <f t="shared" ref="W31:X31" si="69">SUM(W32:W36)</f>
        <v>173425.87</v>
      </c>
      <c r="X31" s="7">
        <f t="shared" si="69"/>
        <v>188050.25</v>
      </c>
      <c r="Y31" s="7">
        <f t="shared" ref="Y31:Z31" si="70">SUM(Y32:Y36)</f>
        <v>179246.666</v>
      </c>
      <c r="Z31" s="7">
        <f t="shared" si="70"/>
        <v>189120.72560999999</v>
      </c>
      <c r="AA31" s="7">
        <f t="shared" ref="AA31" si="71">SUM(AA32:AA36)</f>
        <v>178456.76831000001</v>
      </c>
    </row>
    <row r="32" spans="1:27" s="10" customFormat="1" ht="15" customHeight="1" x14ac:dyDescent="0.15">
      <c r="B32" s="11" t="s">
        <v>20</v>
      </c>
      <c r="C32" s="20">
        <v>31974</v>
      </c>
      <c r="D32" s="20">
        <v>1</v>
      </c>
      <c r="E32" s="20">
        <v>1</v>
      </c>
      <c r="F32" s="20">
        <v>1.294</v>
      </c>
      <c r="G32" s="20">
        <v>1.294</v>
      </c>
      <c r="H32" s="20">
        <v>1.294</v>
      </c>
      <c r="I32" s="20">
        <v>1.294</v>
      </c>
      <c r="J32" s="20">
        <v>1.294</v>
      </c>
      <c r="K32" s="20">
        <v>1.294</v>
      </c>
      <c r="L32" s="20">
        <v>1.294</v>
      </c>
      <c r="M32" s="20">
        <v>1.294</v>
      </c>
      <c r="N32" s="20">
        <v>1.294</v>
      </c>
      <c r="O32" s="20">
        <v>1.294</v>
      </c>
      <c r="P32" s="20">
        <v>1.294</v>
      </c>
      <c r="Q32" s="20">
        <v>1.294</v>
      </c>
      <c r="R32" s="20">
        <v>1.294</v>
      </c>
      <c r="S32" s="20">
        <v>1.294</v>
      </c>
      <c r="T32" s="20">
        <v>1.294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</row>
    <row r="33" spans="1:27" s="10" customFormat="1" ht="15" customHeight="1" x14ac:dyDescent="0.15">
      <c r="B33" s="21" t="s">
        <v>42</v>
      </c>
      <c r="C33" s="20">
        <v>26888</v>
      </c>
      <c r="D33" s="10">
        <v>0</v>
      </c>
      <c r="E33" s="10">
        <v>0</v>
      </c>
      <c r="F33" s="1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2974.8076099999998</v>
      </c>
      <c r="AA33" s="20">
        <v>0</v>
      </c>
    </row>
    <row r="34" spans="1:27" s="10" customFormat="1" ht="15" customHeight="1" x14ac:dyDescent="0.15">
      <c r="B34" s="11" t="s">
        <v>71</v>
      </c>
      <c r="C34" s="20">
        <v>66571</v>
      </c>
      <c r="D34" s="20">
        <v>0</v>
      </c>
      <c r="E34" s="10">
        <v>0</v>
      </c>
      <c r="F34" s="1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15557.23</v>
      </c>
      <c r="Q34" s="20">
        <v>9649.3989999999994</v>
      </c>
      <c r="R34" s="20">
        <v>9321.1669999999995</v>
      </c>
      <c r="S34" s="20">
        <v>9469.1990000000005</v>
      </c>
      <c r="T34" s="20">
        <v>8541.0409999999993</v>
      </c>
      <c r="U34" s="20">
        <v>8556.0660000000007</v>
      </c>
      <c r="V34" s="20">
        <v>10477.427</v>
      </c>
      <c r="W34" s="20">
        <v>11125.32</v>
      </c>
      <c r="X34" s="20">
        <v>8461.3430000000008</v>
      </c>
      <c r="Y34" s="20">
        <v>8542.1759999999995</v>
      </c>
      <c r="Z34" s="20">
        <v>8453.8169999999991</v>
      </c>
      <c r="AA34" s="20">
        <v>8549.1239999999998</v>
      </c>
    </row>
    <row r="35" spans="1:27" ht="15" customHeight="1" x14ac:dyDescent="0.2">
      <c r="B35" s="21" t="s">
        <v>75</v>
      </c>
      <c r="C35" s="20">
        <v>0</v>
      </c>
      <c r="D35" s="20">
        <v>0</v>
      </c>
      <c r="E35" s="10">
        <v>0</v>
      </c>
      <c r="F35" s="1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44064.512999999999</v>
      </c>
      <c r="Q35" s="20">
        <v>44128.743999999999</v>
      </c>
      <c r="R35" s="20">
        <v>19393.903999999999</v>
      </c>
      <c r="S35" s="20">
        <v>19807.547999999999</v>
      </c>
      <c r="T35" s="20">
        <v>19487.697</v>
      </c>
      <c r="U35" s="20">
        <v>15689.53</v>
      </c>
      <c r="V35" s="20">
        <v>14675.973</v>
      </c>
      <c r="W35" s="20">
        <v>14802.977000000001</v>
      </c>
      <c r="X35" s="20">
        <v>14760.965</v>
      </c>
      <c r="Y35" s="20">
        <v>20821.010999999999</v>
      </c>
      <c r="Z35" s="20">
        <v>19704.371999999999</v>
      </c>
      <c r="AA35" s="20">
        <v>19073.823</v>
      </c>
    </row>
    <row r="36" spans="1:27" ht="15" customHeight="1" x14ac:dyDescent="0.2">
      <c r="B36" s="11" t="s">
        <v>90</v>
      </c>
      <c r="C36" s="20">
        <v>70466</v>
      </c>
      <c r="D36" s="20">
        <v>70494</v>
      </c>
      <c r="E36" s="20">
        <v>70013</v>
      </c>
      <c r="F36" s="20">
        <v>69992.192999999999</v>
      </c>
      <c r="G36" s="20">
        <v>69997.87083</v>
      </c>
      <c r="H36" s="20">
        <v>69991.318060000005</v>
      </c>
      <c r="I36" s="20">
        <v>69999.83958</v>
      </c>
      <c r="J36" s="20">
        <v>69999.815279999995</v>
      </c>
      <c r="K36" s="20">
        <v>69967.119439999995</v>
      </c>
      <c r="L36" s="20">
        <v>69842.801389999993</v>
      </c>
      <c r="M36" s="20">
        <v>69703.289210000003</v>
      </c>
      <c r="N36" s="20">
        <v>69624.586129999996</v>
      </c>
      <c r="O36" s="20">
        <v>69559.224019999994</v>
      </c>
      <c r="P36" s="20">
        <v>183697.84701999999</v>
      </c>
      <c r="Q36" s="20">
        <v>190217.95154000001</v>
      </c>
      <c r="R36" s="20">
        <v>166934.36968999999</v>
      </c>
      <c r="S36" s="20">
        <v>177772.71019000001</v>
      </c>
      <c r="T36" s="20">
        <v>158326.33145999999</v>
      </c>
      <c r="U36" s="20">
        <v>154230.204</v>
      </c>
      <c r="V36" s="20">
        <v>162804.99</v>
      </c>
      <c r="W36" s="20">
        <v>147497.573</v>
      </c>
      <c r="X36" s="20">
        <v>164827.94200000001</v>
      </c>
      <c r="Y36" s="20">
        <v>149883.47899999999</v>
      </c>
      <c r="Z36" s="20">
        <v>157987.72899999999</v>
      </c>
      <c r="AA36" s="20">
        <v>150833.82131</v>
      </c>
    </row>
    <row r="37" spans="1:27" s="2" customFormat="1" ht="14.1" customHeight="1" x14ac:dyDescent="0.15">
      <c r="B37" s="14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s="2" customFormat="1" ht="15.95" customHeight="1" x14ac:dyDescent="0.15">
      <c r="A38" s="4">
        <v>3</v>
      </c>
      <c r="B38" s="6" t="s">
        <v>45</v>
      </c>
      <c r="C38" s="7">
        <f t="shared" ref="C38" si="72">C39+C46</f>
        <v>0</v>
      </c>
      <c r="D38" s="7">
        <f t="shared" ref="D38" si="73">D39+D46</f>
        <v>147420</v>
      </c>
      <c r="E38" s="7">
        <f t="shared" ref="E38:F38" si="74">E39+E46</f>
        <v>101265</v>
      </c>
      <c r="F38" s="7">
        <f t="shared" si="74"/>
        <v>128640.01599999999</v>
      </c>
      <c r="G38" s="7">
        <f t="shared" ref="G38:L38" si="75">G39+G46</f>
        <v>234619.32983</v>
      </c>
      <c r="H38" s="7">
        <f t="shared" si="75"/>
        <v>170140.91777</v>
      </c>
      <c r="I38" s="7">
        <f t="shared" si="75"/>
        <v>161889.99639000001</v>
      </c>
      <c r="J38" s="7">
        <f t="shared" si="75"/>
        <v>100608.58348</v>
      </c>
      <c r="K38" s="7">
        <f t="shared" si="75"/>
        <v>183424.52162000001</v>
      </c>
      <c r="L38" s="7">
        <f t="shared" si="75"/>
        <v>161627.04639999999</v>
      </c>
      <c r="M38" s="7">
        <f t="shared" ref="M38:N38" si="76">M39+M46</f>
        <v>413964.90922000003</v>
      </c>
      <c r="N38" s="7">
        <f t="shared" si="76"/>
        <v>214639.88389999999</v>
      </c>
      <c r="O38" s="7">
        <f t="shared" ref="O38:P38" si="77">O39+O46</f>
        <v>89781.567989999996</v>
      </c>
      <c r="P38" s="7">
        <f t="shared" si="77"/>
        <v>188251.30956000002</v>
      </c>
      <c r="Q38" s="7">
        <f t="shared" ref="Q38:R38" si="78">Q39+Q46</f>
        <v>211203.11924999999</v>
      </c>
      <c r="R38" s="7">
        <f t="shared" si="78"/>
        <v>218410.93345999997</v>
      </c>
      <c r="S38" s="7">
        <f t="shared" ref="S38:T38" si="79">S39+S46</f>
        <v>157537.64319999999</v>
      </c>
      <c r="T38" s="7">
        <f t="shared" si="79"/>
        <v>136922.15101999999</v>
      </c>
      <c r="U38" s="7">
        <f t="shared" ref="U38:V38" si="80">U39+U46</f>
        <v>172871.05738000001</v>
      </c>
      <c r="V38" s="7">
        <f t="shared" si="80"/>
        <v>281668.59135</v>
      </c>
      <c r="W38" s="7">
        <f t="shared" ref="W38:X38" si="81">W39+W46</f>
        <v>227594.16427999997</v>
      </c>
      <c r="X38" s="7">
        <f t="shared" si="81"/>
        <v>397096.78300000005</v>
      </c>
      <c r="Y38" s="7">
        <f t="shared" ref="Y38:Z38" si="82">Y39+Y46</f>
        <v>153701.25802000001</v>
      </c>
      <c r="Z38" s="7">
        <f t="shared" si="82"/>
        <v>119187.72414999999</v>
      </c>
      <c r="AA38" s="7">
        <f>AA39+AA46</f>
        <v>354342.97965999995</v>
      </c>
    </row>
    <row r="39" spans="1:27" ht="15.95" customHeight="1" x14ac:dyDescent="0.2">
      <c r="B39" s="9" t="s">
        <v>34</v>
      </c>
      <c r="C39" s="7">
        <f t="shared" ref="C39" si="83">SUM(C40:C43)</f>
        <v>0</v>
      </c>
      <c r="D39" s="7">
        <f t="shared" ref="D39" si="84">SUM(D40:D43)</f>
        <v>34686</v>
      </c>
      <c r="E39" s="7">
        <f t="shared" ref="E39:G39" si="85">SUM(E40:E43)</f>
        <v>44199</v>
      </c>
      <c r="F39" s="7">
        <f t="shared" si="85"/>
        <v>18745.348999999998</v>
      </c>
      <c r="G39" s="7">
        <f t="shared" si="85"/>
        <v>219911.33932</v>
      </c>
      <c r="H39" s="7">
        <f t="shared" ref="H39:I39" si="86">SUM(H40:H43)</f>
        <v>156894.58389000001</v>
      </c>
      <c r="I39" s="7">
        <f t="shared" si="86"/>
        <v>139469.18119</v>
      </c>
      <c r="J39" s="7">
        <f t="shared" ref="J39:K39" si="87">SUM(J40:J43)</f>
        <v>39512.8632</v>
      </c>
      <c r="K39" s="7">
        <f t="shared" si="87"/>
        <v>110386.63497</v>
      </c>
      <c r="L39" s="7">
        <f t="shared" ref="L39:M39" si="88">SUM(L40:L43)</f>
        <v>54441.724390000003</v>
      </c>
      <c r="M39" s="7">
        <f t="shared" si="88"/>
        <v>274878.20556999999</v>
      </c>
      <c r="N39" s="7">
        <f t="shared" ref="N39:O39" si="89">SUM(N40:N43)</f>
        <v>19894.779210000001</v>
      </c>
      <c r="O39" s="7">
        <f t="shared" si="89"/>
        <v>15354.775970000001</v>
      </c>
      <c r="P39" s="7">
        <f t="shared" ref="P39:Q39" si="90">SUM(P40:P43)</f>
        <v>90298.80141</v>
      </c>
      <c r="Q39" s="7">
        <f t="shared" si="90"/>
        <v>150120.54358</v>
      </c>
      <c r="R39" s="7">
        <f t="shared" ref="R39:S39" si="91">SUM(R40:R43)</f>
        <v>19515.283630000002</v>
      </c>
      <c r="S39" s="7">
        <f t="shared" si="91"/>
        <v>99456.884529999996</v>
      </c>
      <c r="T39" s="7">
        <f t="shared" ref="T39:U39" si="92">SUM(T40:T43)</f>
        <v>72783.357690000004</v>
      </c>
      <c r="U39" s="7">
        <f t="shared" si="92"/>
        <v>23593.686119999998</v>
      </c>
      <c r="V39" s="7">
        <f t="shared" ref="V39:W39" si="93">SUM(V40:V43)</f>
        <v>157822.94962</v>
      </c>
      <c r="W39" s="7">
        <f t="shared" si="93"/>
        <v>75301.700670000006</v>
      </c>
      <c r="X39" s="7">
        <f t="shared" ref="X39:Y39" si="94">SUM(X40:X43)</f>
        <v>34243.432999999997</v>
      </c>
      <c r="Y39" s="7">
        <f t="shared" si="94"/>
        <v>50468.394520000002</v>
      </c>
      <c r="Z39" s="7">
        <f t="shared" ref="Z39:AA39" si="95">SUM(Z40:Z43)</f>
        <v>21163.555339999999</v>
      </c>
      <c r="AA39" s="7">
        <f t="shared" si="95"/>
        <v>192355.45942999999</v>
      </c>
    </row>
    <row r="40" spans="1:27" s="10" customFormat="1" ht="14.1" customHeight="1" x14ac:dyDescent="0.15">
      <c r="B40" s="10" t="s">
        <v>18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</row>
    <row r="41" spans="1:27" s="10" customFormat="1" ht="15" customHeight="1" x14ac:dyDescent="0.15">
      <c r="B41" s="11" t="s">
        <v>41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</row>
    <row r="42" spans="1:27" s="10" customFormat="1" ht="15" customHeight="1" x14ac:dyDescent="0.15">
      <c r="B42" s="11" t="s">
        <v>40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50</v>
      </c>
      <c r="Q42" s="20">
        <v>50</v>
      </c>
      <c r="R42" s="20">
        <v>0</v>
      </c>
      <c r="S42" s="20">
        <v>50</v>
      </c>
      <c r="T42" s="20">
        <v>50</v>
      </c>
      <c r="U42" s="20">
        <v>50</v>
      </c>
      <c r="V42" s="20">
        <v>50</v>
      </c>
      <c r="W42" s="20">
        <v>50</v>
      </c>
      <c r="X42" s="20">
        <v>50</v>
      </c>
      <c r="Y42" s="20">
        <v>50</v>
      </c>
      <c r="Z42" s="20">
        <v>50</v>
      </c>
      <c r="AA42" s="20">
        <v>50</v>
      </c>
    </row>
    <row r="43" spans="1:27" s="10" customFormat="1" ht="15" customHeight="1" x14ac:dyDescent="0.15">
      <c r="B43" s="11" t="s">
        <v>71</v>
      </c>
      <c r="C43" s="20">
        <v>0</v>
      </c>
      <c r="D43" s="20">
        <v>34686</v>
      </c>
      <c r="E43" s="20">
        <v>44199</v>
      </c>
      <c r="F43" s="20">
        <v>18745.348999999998</v>
      </c>
      <c r="G43" s="20">
        <v>219911.33932</v>
      </c>
      <c r="H43" s="20">
        <v>156894.58389000001</v>
      </c>
      <c r="I43" s="20">
        <v>139469.18119</v>
      </c>
      <c r="J43" s="20">
        <v>39512.8632</v>
      </c>
      <c r="K43" s="20">
        <v>110386.63497</v>
      </c>
      <c r="L43" s="20">
        <v>54441.724390000003</v>
      </c>
      <c r="M43" s="20">
        <v>274878.20556999999</v>
      </c>
      <c r="N43" s="20">
        <v>19894.779210000001</v>
      </c>
      <c r="O43" s="20">
        <v>15354.775970000001</v>
      </c>
      <c r="P43" s="20">
        <v>90248.80141</v>
      </c>
      <c r="Q43" s="20">
        <v>150070.54358</v>
      </c>
      <c r="R43" s="20">
        <v>19515.283630000002</v>
      </c>
      <c r="S43" s="20">
        <v>99406.884529999996</v>
      </c>
      <c r="T43" s="20">
        <v>72733.357690000004</v>
      </c>
      <c r="U43" s="20">
        <v>23543.686119999998</v>
      </c>
      <c r="V43" s="20">
        <v>157772.94962</v>
      </c>
      <c r="W43" s="20">
        <v>75251.700670000006</v>
      </c>
      <c r="X43" s="20">
        <v>34193.432999999997</v>
      </c>
      <c r="Y43" s="20">
        <v>50418.394520000002</v>
      </c>
      <c r="Z43" s="20">
        <v>21113.555339999999</v>
      </c>
      <c r="AA43" s="20">
        <v>192305.45942999999</v>
      </c>
    </row>
    <row r="44" spans="1:27" s="10" customFormat="1" ht="15" customHeight="1" x14ac:dyDescent="0.15">
      <c r="B44" s="11" t="s">
        <v>87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</row>
    <row r="45" spans="1:27" s="13" customFormat="1" ht="14.1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ht="15.95" customHeight="1" x14ac:dyDescent="0.2">
      <c r="B46" s="9" t="s">
        <v>35</v>
      </c>
      <c r="C46" s="7">
        <f t="shared" ref="C46:D46" si="96">SUM(C47:C51)</f>
        <v>0</v>
      </c>
      <c r="D46" s="7">
        <f t="shared" si="96"/>
        <v>112734</v>
      </c>
      <c r="E46" s="7">
        <f t="shared" ref="E46:G46" si="97">SUM(E47:E51)</f>
        <v>57066</v>
      </c>
      <c r="F46" s="7">
        <f t="shared" si="97"/>
        <v>109894.66699999999</v>
      </c>
      <c r="G46" s="7">
        <f t="shared" si="97"/>
        <v>14707.99051</v>
      </c>
      <c r="H46" s="7">
        <f t="shared" ref="H46:I46" si="98">SUM(H47:H51)</f>
        <v>13246.33388</v>
      </c>
      <c r="I46" s="7">
        <f t="shared" si="98"/>
        <v>22420.815200000001</v>
      </c>
      <c r="J46" s="7">
        <f t="shared" ref="J46:K46" si="99">SUM(J47:J51)</f>
        <v>61095.720280000001</v>
      </c>
      <c r="K46" s="7">
        <f t="shared" si="99"/>
        <v>73037.88665</v>
      </c>
      <c r="L46" s="7">
        <f t="shared" ref="L46:M46" si="100">SUM(L47:L51)</f>
        <v>107185.32200999999</v>
      </c>
      <c r="M46" s="7">
        <f t="shared" si="100"/>
        <v>139086.70365000001</v>
      </c>
      <c r="N46" s="7">
        <f t="shared" ref="N46:O46" si="101">SUM(N47:N51)</f>
        <v>194745.10468999998</v>
      </c>
      <c r="O46" s="7">
        <f t="shared" si="101"/>
        <v>74426.792019999993</v>
      </c>
      <c r="P46" s="7">
        <f t="shared" ref="P46:Q46" si="102">SUM(P47:P51)</f>
        <v>97952.508150000009</v>
      </c>
      <c r="Q46" s="7">
        <f t="shared" si="102"/>
        <v>61082.575670000006</v>
      </c>
      <c r="R46" s="7">
        <f t="shared" ref="R46:S46" si="103">SUM(R47:R51)</f>
        <v>198895.64982999998</v>
      </c>
      <c r="S46" s="7">
        <f t="shared" si="103"/>
        <v>58080.758669999996</v>
      </c>
      <c r="T46" s="7">
        <f t="shared" ref="T46:U46" si="104">SUM(T47:T51)</f>
        <v>64138.79333</v>
      </c>
      <c r="U46" s="7">
        <f t="shared" si="104"/>
        <v>149277.37126000001</v>
      </c>
      <c r="V46" s="7">
        <f t="shared" ref="V46:W46" si="105">SUM(V47:V51)</f>
        <v>123845.64173</v>
      </c>
      <c r="W46" s="7">
        <f t="shared" si="105"/>
        <v>152292.46360999998</v>
      </c>
      <c r="X46" s="7">
        <f t="shared" ref="X46:Y46" si="106">SUM(X47:X51)</f>
        <v>362853.35000000003</v>
      </c>
      <c r="Y46" s="7">
        <f t="shared" si="106"/>
        <v>103232.86350000001</v>
      </c>
      <c r="Z46" s="7">
        <f t="shared" ref="Z46:AA46" si="107">SUM(Z47:Z51)</f>
        <v>98024.168810000003</v>
      </c>
      <c r="AA46" s="7">
        <f t="shared" si="107"/>
        <v>161987.52022999999</v>
      </c>
    </row>
    <row r="47" spans="1:27" s="10" customFormat="1" ht="15" customHeight="1" x14ac:dyDescent="0.15">
      <c r="B47" s="11" t="s">
        <v>20</v>
      </c>
      <c r="C47" s="20">
        <v>0</v>
      </c>
      <c r="D47" s="20">
        <v>50395</v>
      </c>
      <c r="E47" s="20">
        <v>23510</v>
      </c>
      <c r="F47" s="20">
        <v>25152.935000000001</v>
      </c>
      <c r="G47" s="20">
        <v>2762.5095299999998</v>
      </c>
      <c r="H47" s="20">
        <v>2929.3847000000001</v>
      </c>
      <c r="I47" s="20">
        <v>6996.43559</v>
      </c>
      <c r="J47" s="20">
        <v>717.44048999999995</v>
      </c>
      <c r="K47" s="20">
        <v>9066.7629400000005</v>
      </c>
      <c r="L47" s="20">
        <v>2616.3474700000002</v>
      </c>
      <c r="M47" s="20">
        <v>6154.8386799999998</v>
      </c>
      <c r="N47" s="20">
        <v>29411.313709999999</v>
      </c>
      <c r="O47" s="20">
        <v>20145.738079999999</v>
      </c>
      <c r="P47" s="20">
        <v>12041.492679999999</v>
      </c>
      <c r="Q47" s="20">
        <v>6355.2288200000003</v>
      </c>
      <c r="R47" s="20">
        <v>25603.169699999999</v>
      </c>
      <c r="S47" s="20">
        <v>2647.4679999999998</v>
      </c>
      <c r="T47" s="20">
        <v>1664.36698</v>
      </c>
      <c r="U47" s="20">
        <v>9166.0536300000003</v>
      </c>
      <c r="V47" s="20">
        <v>1227.9780800000001</v>
      </c>
      <c r="W47" s="20">
        <v>5160.2777900000001</v>
      </c>
      <c r="X47" s="20">
        <v>29014.118999999999</v>
      </c>
      <c r="Y47" s="20">
        <v>20638.09405</v>
      </c>
      <c r="Z47" s="20">
        <v>15978.131359999999</v>
      </c>
      <c r="AA47" s="20">
        <v>18399.581119999999</v>
      </c>
    </row>
    <row r="48" spans="1:27" s="10" customFormat="1" ht="15" customHeight="1" x14ac:dyDescent="0.15">
      <c r="B48" s="21" t="s">
        <v>42</v>
      </c>
      <c r="C48" s="20">
        <v>0</v>
      </c>
      <c r="D48" s="20">
        <v>40592</v>
      </c>
      <c r="E48" s="20">
        <v>6937</v>
      </c>
      <c r="F48" s="20">
        <v>67468.073999999993</v>
      </c>
      <c r="G48" s="20">
        <v>2084.1769899999999</v>
      </c>
      <c r="H48" s="20">
        <v>3549.4617699999999</v>
      </c>
      <c r="I48" s="20">
        <v>6594.4123099999997</v>
      </c>
      <c r="J48" s="20">
        <v>51907.994720000002</v>
      </c>
      <c r="K48" s="20">
        <v>53471.91231</v>
      </c>
      <c r="L48" s="20">
        <v>96378.55816</v>
      </c>
      <c r="M48" s="20">
        <v>8760.7579299999998</v>
      </c>
      <c r="N48" s="20">
        <v>164009.19662</v>
      </c>
      <c r="O48" s="20">
        <v>52872.770080000002</v>
      </c>
      <c r="P48" s="20">
        <v>24119.745050000001</v>
      </c>
      <c r="Q48" s="20">
        <v>19979.482660000001</v>
      </c>
      <c r="R48" s="20">
        <v>165901.42066999999</v>
      </c>
      <c r="S48" s="20">
        <v>15322.94911</v>
      </c>
      <c r="T48" s="20">
        <v>51347.374920000002</v>
      </c>
      <c r="U48" s="20">
        <v>122000.44594000001</v>
      </c>
      <c r="V48" s="20">
        <v>15109.48856</v>
      </c>
      <c r="W48" s="20">
        <v>70092.414950000006</v>
      </c>
      <c r="X48" s="20">
        <v>270337.65700000001</v>
      </c>
      <c r="Y48" s="20">
        <v>46941.482259999997</v>
      </c>
      <c r="Z48" s="20">
        <v>70704.855049999998</v>
      </c>
      <c r="AA48" s="20">
        <v>44721.445820000001</v>
      </c>
    </row>
    <row r="49" spans="1:27" s="10" customFormat="1" ht="15" customHeight="1" x14ac:dyDescent="0.15">
      <c r="B49" s="11" t="s">
        <v>71</v>
      </c>
      <c r="C49" s="2">
        <v>0</v>
      </c>
      <c r="D49" s="20">
        <v>21747</v>
      </c>
      <c r="E49" s="20">
        <v>26619</v>
      </c>
      <c r="F49" s="20">
        <v>17273.657999999999</v>
      </c>
      <c r="G49" s="20">
        <v>9861.3039900000003</v>
      </c>
      <c r="H49" s="20">
        <v>6767.4874099999997</v>
      </c>
      <c r="I49" s="20">
        <v>8829.9673000000003</v>
      </c>
      <c r="J49" s="20">
        <v>8470.2850699999999</v>
      </c>
      <c r="K49" s="20">
        <v>10499.2114</v>
      </c>
      <c r="L49" s="20">
        <v>8190.4163799999997</v>
      </c>
      <c r="M49" s="20">
        <v>124171.10704</v>
      </c>
      <c r="N49" s="20">
        <v>1324.5943600000001</v>
      </c>
      <c r="O49" s="20">
        <v>1408.28386</v>
      </c>
      <c r="P49" s="20">
        <v>61791.270420000001</v>
      </c>
      <c r="Q49" s="20">
        <v>34747.86419</v>
      </c>
      <c r="R49" s="20">
        <v>7391.0594600000004</v>
      </c>
      <c r="S49" s="20">
        <v>40110.341560000001</v>
      </c>
      <c r="T49" s="20">
        <v>11127.05143</v>
      </c>
      <c r="U49" s="20">
        <v>18110.87169</v>
      </c>
      <c r="V49" s="20">
        <v>107508.17509</v>
      </c>
      <c r="W49" s="20">
        <v>77039.770869999993</v>
      </c>
      <c r="X49" s="20">
        <v>63501.574000000001</v>
      </c>
      <c r="Y49" s="20">
        <v>35653.287190000003</v>
      </c>
      <c r="Z49" s="20">
        <v>11341.1824</v>
      </c>
      <c r="AA49" s="20">
        <v>98866.493289999999</v>
      </c>
    </row>
    <row r="50" spans="1:27" ht="15" customHeight="1" x14ac:dyDescent="0.2">
      <c r="B50" s="21" t="s">
        <v>75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</row>
    <row r="51" spans="1:27" ht="15" customHeight="1" x14ac:dyDescent="0.2">
      <c r="B51" s="25" t="s">
        <v>88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</row>
    <row r="52" spans="1:27" s="2" customFormat="1" ht="12" customHeight="1" x14ac:dyDescent="0.15">
      <c r="B52" s="26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s="2" customFormat="1" ht="12" customHeight="1" x14ac:dyDescent="0.15">
      <c r="B53" s="26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s="2" customFormat="1" ht="12" customHeight="1" x14ac:dyDescent="0.15">
      <c r="B54" s="26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s="2" customFormat="1" ht="15" customHeight="1" x14ac:dyDescent="0.15">
      <c r="A55" s="27">
        <v>4</v>
      </c>
      <c r="B55" s="6" t="s">
        <v>21</v>
      </c>
      <c r="C55" s="7">
        <f t="shared" ref="C55" si="108">C56+C80</f>
        <v>849421</v>
      </c>
      <c r="D55" s="7">
        <f t="shared" ref="D55" si="109">D56+D80</f>
        <v>909752</v>
      </c>
      <c r="E55" s="7">
        <f t="shared" ref="E55:F55" si="110">E56+E80</f>
        <v>750239</v>
      </c>
      <c r="F55" s="7">
        <f t="shared" si="110"/>
        <v>553168.478</v>
      </c>
      <c r="G55" s="7">
        <f t="shared" ref="G55:L55" si="111">G56+G80</f>
        <v>352946.92947999999</v>
      </c>
      <c r="H55" s="7">
        <f t="shared" si="111"/>
        <v>715225.05078000005</v>
      </c>
      <c r="I55" s="7">
        <f t="shared" si="111"/>
        <v>576919.74204000004</v>
      </c>
      <c r="J55" s="7">
        <f t="shared" si="111"/>
        <v>1207821.8103</v>
      </c>
      <c r="K55" s="7">
        <f t="shared" si="111"/>
        <v>975995.07648000005</v>
      </c>
      <c r="L55" s="7">
        <f t="shared" si="111"/>
        <v>1345158.1495399999</v>
      </c>
      <c r="M55" s="7">
        <f t="shared" ref="M55:N55" si="112">M56+M80</f>
        <v>1197688.9448799998</v>
      </c>
      <c r="N55" s="7">
        <f t="shared" si="112"/>
        <v>1457555.7907</v>
      </c>
      <c r="O55" s="7">
        <f t="shared" ref="O55:P55" si="113">O56+O80</f>
        <v>1465774.2174499999</v>
      </c>
      <c r="P55" s="7">
        <f t="shared" si="113"/>
        <v>1773775.5736500002</v>
      </c>
      <c r="Q55" s="7">
        <f t="shared" ref="Q55:R55" si="114">Q56+Q80</f>
        <v>1706960.1173999999</v>
      </c>
      <c r="R55" s="7">
        <f t="shared" si="114"/>
        <v>2368915.0824500001</v>
      </c>
      <c r="S55" s="7">
        <f t="shared" ref="S55:T55" si="115">S56+S80</f>
        <v>1986488.8103100001</v>
      </c>
      <c r="T55" s="7">
        <f t="shared" si="115"/>
        <v>2191502.8999700001</v>
      </c>
      <c r="U55" s="7">
        <f t="shared" ref="U55:V55" si="116">U56+U80</f>
        <v>2005079.42074</v>
      </c>
      <c r="V55" s="7">
        <f t="shared" si="116"/>
        <v>2258561.1087599997</v>
      </c>
      <c r="W55" s="7">
        <f t="shared" ref="W55:X55" si="117">W56+W80</f>
        <v>2231281.7751000002</v>
      </c>
      <c r="X55" s="7">
        <f t="shared" si="117"/>
        <v>2274527.4588799998</v>
      </c>
      <c r="Y55" s="7">
        <f t="shared" ref="Y55:Z55" si="118">Y56+Y80</f>
        <v>2634758.9078500001</v>
      </c>
      <c r="Z55" s="7">
        <f t="shared" si="118"/>
        <v>3072402.81164</v>
      </c>
      <c r="AA55" s="7">
        <f>AA56+AA80</f>
        <v>2791887.17135</v>
      </c>
    </row>
    <row r="56" spans="1:27" ht="15" customHeight="1" x14ac:dyDescent="0.2">
      <c r="B56" s="9" t="s">
        <v>34</v>
      </c>
      <c r="C56" s="7">
        <f t="shared" ref="C56" si="119">C57+C58+C59+C63+C74</f>
        <v>698741</v>
      </c>
      <c r="D56" s="7">
        <f t="shared" ref="D56" si="120">D57+D58+D59+D63+D74</f>
        <v>632694</v>
      </c>
      <c r="E56" s="7">
        <f t="shared" ref="E56:G56" si="121">E57+E58+E59+E63+E74</f>
        <v>570806</v>
      </c>
      <c r="F56" s="7">
        <f t="shared" si="121"/>
        <v>324131.36900000001</v>
      </c>
      <c r="G56" s="7">
        <f t="shared" si="121"/>
        <v>258781.46234999999</v>
      </c>
      <c r="H56" s="7">
        <f t="shared" ref="H56:I56" si="122">H57+H58+H59+H63+H74</f>
        <v>592679.93581000005</v>
      </c>
      <c r="I56" s="7">
        <f t="shared" si="122"/>
        <v>481267.33162000001</v>
      </c>
      <c r="J56" s="7">
        <f t="shared" ref="J56:K56" si="123">J57+J58+J59+J63+J74</f>
        <v>815717.54851999995</v>
      </c>
      <c r="K56" s="7">
        <f t="shared" si="123"/>
        <v>595399.80567000003</v>
      </c>
      <c r="L56" s="7">
        <f t="shared" ref="L56:M56" si="124">L57+L58+L59+L63+L74</f>
        <v>1011666.8047</v>
      </c>
      <c r="M56" s="7">
        <f t="shared" si="124"/>
        <v>870358.96294999996</v>
      </c>
      <c r="N56" s="7">
        <f t="shared" ref="N56:O56" si="125">N57+N58+N59+N63+N74</f>
        <v>952606.64956000005</v>
      </c>
      <c r="O56" s="7">
        <f t="shared" si="125"/>
        <v>652236.88153000001</v>
      </c>
      <c r="P56" s="7">
        <f t="shared" ref="P56:Q56" si="126">P57+P58+P59+P63+P74</f>
        <v>748877.72335999995</v>
      </c>
      <c r="Q56" s="7">
        <f t="shared" si="126"/>
        <v>585675.89228999999</v>
      </c>
      <c r="R56" s="7">
        <f t="shared" ref="R56:S56" si="127">R57+R58+R59+R63+R74</f>
        <v>905480.26770000008</v>
      </c>
      <c r="S56" s="7">
        <f t="shared" si="127"/>
        <v>565463.16687000007</v>
      </c>
      <c r="T56" s="7">
        <f t="shared" ref="T56:U56" si="128">T57+T58+T59+T63+T74</f>
        <v>732908.8014600001</v>
      </c>
      <c r="U56" s="7">
        <f t="shared" si="128"/>
        <v>506633.83958999999</v>
      </c>
      <c r="V56" s="7">
        <f t="shared" ref="V56:W56" si="129">V57+V58+V59+V63+V74</f>
        <v>799048.56723999989</v>
      </c>
      <c r="W56" s="7">
        <f t="shared" si="129"/>
        <v>740303.18270999996</v>
      </c>
      <c r="X56" s="7">
        <f>X57+X58+X59+X63+X74</f>
        <v>812664.00488000002</v>
      </c>
      <c r="Y56" s="7">
        <f>Y57+Y58+Y59+Y63+Y74</f>
        <v>782108.44819999998</v>
      </c>
      <c r="Z56" s="7">
        <f>Z57+Z58+Z59+Z63+Z74</f>
        <v>1243669.50373</v>
      </c>
      <c r="AA56" s="7">
        <f>AA57+AA58+AA59+AA63+AA74</f>
        <v>1024873.5057400001</v>
      </c>
    </row>
    <row r="57" spans="1:27" s="2" customFormat="1" ht="15" customHeight="1" x14ac:dyDescent="0.15">
      <c r="B57" s="2" t="s">
        <v>4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</row>
    <row r="58" spans="1:27" s="2" customFormat="1" ht="15" customHeight="1" x14ac:dyDescent="0.15">
      <c r="B58" s="2" t="s">
        <v>19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</row>
    <row r="59" spans="1:27" s="2" customFormat="1" ht="15" customHeight="1" x14ac:dyDescent="0.15">
      <c r="B59" s="2" t="s">
        <v>24</v>
      </c>
      <c r="C59" s="20">
        <f t="shared" ref="C59:E59" si="130">+C60+C61+C62</f>
        <v>0</v>
      </c>
      <c r="D59" s="20">
        <f t="shared" si="130"/>
        <v>0</v>
      </c>
      <c r="E59" s="20">
        <f t="shared" si="130"/>
        <v>0</v>
      </c>
      <c r="F59" s="20">
        <f t="shared" ref="F59:G59" si="131">+F60+F61+F62</f>
        <v>0</v>
      </c>
      <c r="G59" s="20">
        <f t="shared" si="131"/>
        <v>0</v>
      </c>
      <c r="H59" s="20">
        <f t="shared" ref="H59:I59" si="132">+H60+H61+H62</f>
        <v>0</v>
      </c>
      <c r="I59" s="20">
        <f t="shared" si="132"/>
        <v>0</v>
      </c>
      <c r="J59" s="20">
        <f t="shared" ref="J59:K59" si="133">+J60+J61+J62</f>
        <v>0</v>
      </c>
      <c r="K59" s="20">
        <f t="shared" si="133"/>
        <v>0</v>
      </c>
      <c r="L59" s="20">
        <f t="shared" ref="L59:M59" si="134">+L60+L61+L62</f>
        <v>0</v>
      </c>
      <c r="M59" s="20">
        <f t="shared" si="134"/>
        <v>0</v>
      </c>
      <c r="N59" s="20">
        <f t="shared" ref="N59:O59" si="135">+N60+N61+N62</f>
        <v>0</v>
      </c>
      <c r="O59" s="20">
        <f t="shared" si="135"/>
        <v>0</v>
      </c>
      <c r="P59" s="20">
        <f t="shared" ref="P59:Q59" si="136">+P60+P61+P62</f>
        <v>3070.951</v>
      </c>
      <c r="Q59" s="20">
        <f t="shared" si="136"/>
        <v>3179.59</v>
      </c>
      <c r="R59" s="20">
        <f t="shared" ref="R59:S59" si="137">+R60+R61+R62</f>
        <v>3331.462</v>
      </c>
      <c r="S59" s="20">
        <f t="shared" si="137"/>
        <v>6766.9503800000002</v>
      </c>
      <c r="T59" s="20">
        <f t="shared" ref="T59:U59" si="138">+T60+T61+T62</f>
        <v>3607.3319999999999</v>
      </c>
      <c r="U59" s="20">
        <f t="shared" si="138"/>
        <v>3746.4150400000003</v>
      </c>
      <c r="V59" s="20">
        <f t="shared" ref="V59:W59" si="139">+V60+V61+V62</f>
        <v>3840.4010600000001</v>
      </c>
      <c r="W59" s="20">
        <f t="shared" si="139"/>
        <v>3930.8822599999999</v>
      </c>
      <c r="X59" s="20">
        <f>+X60+X61+X62</f>
        <v>3949.5279999999998</v>
      </c>
      <c r="Y59" s="20">
        <f>+Y60+Y61+Y62</f>
        <v>4103.7579999999998</v>
      </c>
      <c r="Z59" s="20">
        <f>+Z60+Z61+Z62</f>
        <v>3110.87</v>
      </c>
      <c r="AA59" s="20">
        <f>+AA60+AA61+AA62</f>
        <v>4104.6080000000002</v>
      </c>
    </row>
    <row r="60" spans="1:27" s="28" customFormat="1" ht="15" customHeight="1" x14ac:dyDescent="0.15">
      <c r="B60" s="29" t="s">
        <v>26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3070.951</v>
      </c>
      <c r="Q60" s="31">
        <v>3179.59</v>
      </c>
      <c r="R60" s="31">
        <v>3331.462</v>
      </c>
      <c r="S60" s="31">
        <v>3513.4229999999998</v>
      </c>
      <c r="T60" s="31">
        <v>3607.3319999999999</v>
      </c>
      <c r="U60" s="31">
        <v>3703.8180000000002</v>
      </c>
      <c r="V60" s="31">
        <v>3797.2040000000002</v>
      </c>
      <c r="W60" s="31">
        <v>3887.6851999999999</v>
      </c>
      <c r="X60" s="31">
        <v>3949.5279999999998</v>
      </c>
      <c r="Y60" s="31">
        <v>4103.7579999999998</v>
      </c>
      <c r="Z60" s="31">
        <v>3110.87</v>
      </c>
      <c r="AA60" s="31">
        <v>4104.6080000000002</v>
      </c>
    </row>
    <row r="61" spans="1:27" s="28" customFormat="1" ht="15" customHeight="1" x14ac:dyDescent="0.15">
      <c r="B61" s="29" t="s">
        <v>27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42.59704</v>
      </c>
      <c r="V61" s="31">
        <v>43.19706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</row>
    <row r="62" spans="1:27" s="28" customFormat="1" ht="15" customHeight="1" x14ac:dyDescent="0.15">
      <c r="B62" s="29" t="s">
        <v>61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3253.52738</v>
      </c>
      <c r="T62" s="31">
        <v>0</v>
      </c>
      <c r="U62" s="31">
        <v>0</v>
      </c>
      <c r="V62" s="31">
        <v>0</v>
      </c>
      <c r="W62" s="31">
        <v>43.19706</v>
      </c>
      <c r="X62" s="31">
        <v>0</v>
      </c>
      <c r="Y62" s="31">
        <v>0</v>
      </c>
      <c r="Z62" s="31">
        <v>0</v>
      </c>
      <c r="AA62" s="31">
        <v>0</v>
      </c>
    </row>
    <row r="63" spans="1:27" s="2" customFormat="1" ht="15" customHeight="1" x14ac:dyDescent="0.15">
      <c r="B63" s="32" t="s">
        <v>46</v>
      </c>
      <c r="C63" s="20">
        <f t="shared" ref="C63:G63" si="140">C64+C68</f>
        <v>698741</v>
      </c>
      <c r="D63" s="20">
        <f t="shared" si="140"/>
        <v>632694</v>
      </c>
      <c r="E63" s="20">
        <f t="shared" si="140"/>
        <v>570806</v>
      </c>
      <c r="F63" s="20">
        <f t="shared" si="140"/>
        <v>324131.36900000001</v>
      </c>
      <c r="G63" s="20">
        <f t="shared" si="140"/>
        <v>258781.46234999999</v>
      </c>
      <c r="H63" s="20">
        <f t="shared" ref="H63:I63" si="141">H64+H68</f>
        <v>592679.93581000005</v>
      </c>
      <c r="I63" s="20">
        <f t="shared" si="141"/>
        <v>481267.33162000001</v>
      </c>
      <c r="J63" s="20">
        <f t="shared" ref="J63:K63" si="142">J64+J68</f>
        <v>815717.54851999995</v>
      </c>
      <c r="K63" s="20">
        <f t="shared" si="142"/>
        <v>595399.80567000003</v>
      </c>
      <c r="L63" s="20">
        <f t="shared" ref="L63:N63" si="143">L64+L68</f>
        <v>1011666.8047</v>
      </c>
      <c r="M63" s="20">
        <f t="shared" si="143"/>
        <v>870358.96294999996</v>
      </c>
      <c r="N63" s="20">
        <f t="shared" si="143"/>
        <v>952606.64956000005</v>
      </c>
      <c r="O63" s="20">
        <f t="shared" ref="O63:P63" si="144">O64+O68</f>
        <v>652236.88153000001</v>
      </c>
      <c r="P63" s="20">
        <f t="shared" si="144"/>
        <v>745806.77235999994</v>
      </c>
      <c r="Q63" s="20">
        <f t="shared" ref="Q63:R63" si="145">Q64+Q68</f>
        <v>582496.30229000002</v>
      </c>
      <c r="R63" s="20">
        <f t="shared" si="145"/>
        <v>902148.80570000003</v>
      </c>
      <c r="S63" s="20">
        <f t="shared" ref="S63:T63" si="146">S64+S68</f>
        <v>558696.21649000002</v>
      </c>
      <c r="T63" s="20">
        <f t="shared" si="146"/>
        <v>729301.46946000005</v>
      </c>
      <c r="U63" s="20">
        <f t="shared" ref="U63:V63" si="147">U64+U68</f>
        <v>502887.42455</v>
      </c>
      <c r="V63" s="20">
        <f t="shared" si="147"/>
        <v>795208.16617999994</v>
      </c>
      <c r="W63" s="20">
        <f t="shared" ref="W63:X63" si="148">W64+W68</f>
        <v>736372.30044999998</v>
      </c>
      <c r="X63" s="20">
        <f t="shared" si="148"/>
        <v>808714.47687999997</v>
      </c>
      <c r="Y63" s="20">
        <f t="shared" ref="Y63:Z63" si="149">Y64+Y68</f>
        <v>778004.69019999995</v>
      </c>
      <c r="Z63" s="20">
        <f t="shared" si="149"/>
        <v>1240558.6337299999</v>
      </c>
      <c r="AA63" s="20">
        <f>AA64+AA68</f>
        <v>1020768.89774</v>
      </c>
    </row>
    <row r="64" spans="1:27" s="2" customFormat="1" ht="15" customHeight="1" x14ac:dyDescent="0.15">
      <c r="B64" s="33" t="s">
        <v>77</v>
      </c>
      <c r="C64" s="20">
        <f t="shared" ref="C64:G64" si="150">SUM(C65:C67)</f>
        <v>0</v>
      </c>
      <c r="D64" s="20">
        <f t="shared" si="150"/>
        <v>0</v>
      </c>
      <c r="E64" s="20">
        <f t="shared" si="150"/>
        <v>0</v>
      </c>
      <c r="F64" s="20">
        <f t="shared" si="150"/>
        <v>0</v>
      </c>
      <c r="G64" s="20">
        <f t="shared" si="150"/>
        <v>0</v>
      </c>
      <c r="H64" s="20">
        <f t="shared" ref="H64:I64" si="151">SUM(H65:H67)</f>
        <v>0</v>
      </c>
      <c r="I64" s="20">
        <f t="shared" si="151"/>
        <v>0</v>
      </c>
      <c r="J64" s="20">
        <f t="shared" ref="J64:K64" si="152">SUM(J65:J67)</f>
        <v>0</v>
      </c>
      <c r="K64" s="20">
        <f t="shared" si="152"/>
        <v>0</v>
      </c>
      <c r="L64" s="20">
        <f t="shared" ref="L64:M64" si="153">SUM(L65:L67)</f>
        <v>0</v>
      </c>
      <c r="M64" s="20">
        <f t="shared" si="153"/>
        <v>0</v>
      </c>
      <c r="N64" s="20">
        <f t="shared" ref="N64:O64" si="154">SUM(N65:N67)</f>
        <v>0</v>
      </c>
      <c r="O64" s="20">
        <f t="shared" si="154"/>
        <v>0</v>
      </c>
      <c r="P64" s="20">
        <f t="shared" ref="P64:Q64" si="155">SUM(P65:P67)</f>
        <v>0</v>
      </c>
      <c r="Q64" s="20">
        <f t="shared" si="155"/>
        <v>0</v>
      </c>
      <c r="R64" s="20">
        <f t="shared" ref="R64:S64" si="156">SUM(R65:R67)</f>
        <v>0</v>
      </c>
      <c r="S64" s="20">
        <f t="shared" si="156"/>
        <v>0</v>
      </c>
      <c r="T64" s="20">
        <f t="shared" ref="T64:U64" si="157">SUM(T65:T67)</f>
        <v>0</v>
      </c>
      <c r="U64" s="20">
        <f t="shared" si="157"/>
        <v>0</v>
      </c>
      <c r="V64" s="20">
        <f t="shared" ref="V64:W64" si="158">SUM(V65:V67)</f>
        <v>0</v>
      </c>
      <c r="W64" s="20">
        <f t="shared" si="158"/>
        <v>0</v>
      </c>
      <c r="X64" s="20">
        <f t="shared" ref="X64:Y64" si="159">SUM(X65:X67)</f>
        <v>0</v>
      </c>
      <c r="Y64" s="20">
        <f t="shared" si="159"/>
        <v>0</v>
      </c>
      <c r="Z64" s="20">
        <f t="shared" ref="Z64:AA64" si="160">SUM(Z65:Z67)</f>
        <v>0</v>
      </c>
      <c r="AA64" s="20">
        <f t="shared" si="160"/>
        <v>0</v>
      </c>
    </row>
    <row r="65" spans="2:27" s="28" customFormat="1" ht="15" customHeight="1" x14ac:dyDescent="0.15">
      <c r="B65" s="34" t="s">
        <v>47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</row>
    <row r="66" spans="2:27" s="28" customFormat="1" ht="15" customHeight="1" x14ac:dyDescent="0.15">
      <c r="B66" s="34" t="s">
        <v>48</v>
      </c>
      <c r="C66" s="31">
        <v>0</v>
      </c>
      <c r="D66" s="31">
        <f>0+0</f>
        <v>0</v>
      </c>
      <c r="E66" s="31">
        <f>0+0</f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</row>
    <row r="67" spans="2:27" s="28" customFormat="1" ht="15" customHeight="1" x14ac:dyDescent="0.15">
      <c r="B67" s="34" t="s">
        <v>49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</row>
    <row r="68" spans="2:27" s="2" customFormat="1" ht="15" customHeight="1" x14ac:dyDescent="0.15">
      <c r="B68" s="35" t="s">
        <v>81</v>
      </c>
      <c r="C68" s="20">
        <f t="shared" ref="C68" si="161">SUM(C69:C73)</f>
        <v>698741</v>
      </c>
      <c r="D68" s="20">
        <f t="shared" ref="D68" si="162">SUM(D69:D73)</f>
        <v>632694</v>
      </c>
      <c r="E68" s="20">
        <f t="shared" ref="E68:G68" si="163">SUM(E69:E73)</f>
        <v>570806</v>
      </c>
      <c r="F68" s="20">
        <f t="shared" si="163"/>
        <v>324131.36900000001</v>
      </c>
      <c r="G68" s="20">
        <f t="shared" si="163"/>
        <v>258781.46234999999</v>
      </c>
      <c r="H68" s="20">
        <f t="shared" ref="H68:I68" si="164">SUM(H69:H73)</f>
        <v>592679.93581000005</v>
      </c>
      <c r="I68" s="20">
        <f t="shared" si="164"/>
        <v>481267.33162000001</v>
      </c>
      <c r="J68" s="20">
        <f t="shared" ref="J68:K68" si="165">SUM(J69:J73)</f>
        <v>815717.54851999995</v>
      </c>
      <c r="K68" s="20">
        <f t="shared" si="165"/>
        <v>595399.80567000003</v>
      </c>
      <c r="L68" s="20">
        <f t="shared" ref="L68:M68" si="166">SUM(L69:L73)</f>
        <v>1011666.8047</v>
      </c>
      <c r="M68" s="20">
        <f t="shared" si="166"/>
        <v>870358.96294999996</v>
      </c>
      <c r="N68" s="20">
        <f t="shared" ref="N68:O68" si="167">SUM(N69:N73)</f>
        <v>952606.64956000005</v>
      </c>
      <c r="O68" s="20">
        <f t="shared" si="167"/>
        <v>652236.88153000001</v>
      </c>
      <c r="P68" s="20">
        <f t="shared" ref="P68:Q68" si="168">SUM(P69:P73)</f>
        <v>745806.77235999994</v>
      </c>
      <c r="Q68" s="20">
        <f t="shared" si="168"/>
        <v>582496.30229000002</v>
      </c>
      <c r="R68" s="20">
        <f t="shared" ref="R68:S68" si="169">SUM(R69:R73)</f>
        <v>902148.80570000003</v>
      </c>
      <c r="S68" s="20">
        <f t="shared" si="169"/>
        <v>558696.21649000002</v>
      </c>
      <c r="T68" s="20">
        <f t="shared" ref="T68:U68" si="170">SUM(T69:T73)</f>
        <v>729301.46946000005</v>
      </c>
      <c r="U68" s="20">
        <f t="shared" si="170"/>
        <v>502887.42455</v>
      </c>
      <c r="V68" s="20">
        <f t="shared" ref="V68:X68" si="171">SUM(V69:V73)</f>
        <v>795208.16617999994</v>
      </c>
      <c r="W68" s="20">
        <f t="shared" si="171"/>
        <v>736372.30044999998</v>
      </c>
      <c r="X68" s="20">
        <f t="shared" si="171"/>
        <v>808714.47687999997</v>
      </c>
      <c r="Y68" s="20">
        <f t="shared" ref="Y68:Z68" si="172">SUM(Y69:Y73)</f>
        <v>778004.69019999995</v>
      </c>
      <c r="Z68" s="20">
        <f t="shared" si="172"/>
        <v>1240558.6337299999</v>
      </c>
      <c r="AA68" s="20">
        <f>SUM(AA69:AA73)</f>
        <v>1020768.89774</v>
      </c>
    </row>
    <row r="69" spans="2:27" s="28" customFormat="1" ht="15" customHeight="1" x14ac:dyDescent="0.15">
      <c r="B69" s="29" t="s">
        <v>58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</row>
    <row r="70" spans="2:27" s="28" customFormat="1" ht="15" customHeight="1" x14ac:dyDescent="0.15">
      <c r="B70" s="29" t="s">
        <v>57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</row>
    <row r="71" spans="2:27" s="28" customFormat="1" ht="15" customHeight="1" x14ac:dyDescent="0.15">
      <c r="B71" s="29" t="s">
        <v>54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208.60563999999999</v>
      </c>
      <c r="Y71" s="31">
        <v>0</v>
      </c>
      <c r="Z71" s="31">
        <v>0</v>
      </c>
      <c r="AA71" s="31">
        <v>0</v>
      </c>
    </row>
    <row r="72" spans="2:27" s="28" customFormat="1" ht="15" customHeight="1" x14ac:dyDescent="0.15">
      <c r="B72" s="29" t="s">
        <v>55</v>
      </c>
      <c r="C72" s="31">
        <v>698741</v>
      </c>
      <c r="D72" s="31">
        <v>632694</v>
      </c>
      <c r="E72" s="31">
        <v>570806</v>
      </c>
      <c r="F72" s="31">
        <v>324131.36900000001</v>
      </c>
      <c r="G72" s="31">
        <v>258781.46234999999</v>
      </c>
      <c r="H72" s="31">
        <v>592679.93581000005</v>
      </c>
      <c r="I72" s="31">
        <v>481267.33162000001</v>
      </c>
      <c r="J72" s="31">
        <v>815717.54851999995</v>
      </c>
      <c r="K72" s="31">
        <v>595399.80567000003</v>
      </c>
      <c r="L72" s="31">
        <v>1011666.8047</v>
      </c>
      <c r="M72" s="31">
        <v>870358.96294999996</v>
      </c>
      <c r="N72" s="31">
        <v>952606.64956000005</v>
      </c>
      <c r="O72" s="31">
        <v>652236.88153000001</v>
      </c>
      <c r="P72" s="31">
        <v>745806.77235999994</v>
      </c>
      <c r="Q72" s="31">
        <v>582496.30229000002</v>
      </c>
      <c r="R72" s="31">
        <v>902148.80570000003</v>
      </c>
      <c r="S72" s="31">
        <v>558696.21649000002</v>
      </c>
      <c r="T72" s="31">
        <v>729301.46946000005</v>
      </c>
      <c r="U72" s="31">
        <v>502887.42455</v>
      </c>
      <c r="V72" s="31">
        <v>795208.16617999994</v>
      </c>
      <c r="W72" s="31">
        <v>736372.30044999998</v>
      </c>
      <c r="X72" s="31">
        <v>808505.87124000001</v>
      </c>
      <c r="Y72" s="31">
        <v>778004.69019999995</v>
      </c>
      <c r="Z72" s="31">
        <v>1240558.6337299999</v>
      </c>
      <c r="AA72" s="31">
        <v>1020768.89774</v>
      </c>
    </row>
    <row r="73" spans="2:27" s="28" customFormat="1" ht="15" customHeight="1" x14ac:dyDescent="0.15">
      <c r="B73" s="29" t="s">
        <v>56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</row>
    <row r="74" spans="2:27" s="2" customFormat="1" ht="15" customHeight="1" x14ac:dyDescent="0.15">
      <c r="B74" s="6" t="s">
        <v>6</v>
      </c>
      <c r="C74" s="20">
        <f t="shared" ref="C74:D74" si="173">SUM(C75:C78)</f>
        <v>0</v>
      </c>
      <c r="D74" s="20">
        <f t="shared" si="173"/>
        <v>0</v>
      </c>
      <c r="E74" s="20">
        <f t="shared" ref="E74:G74" si="174">SUM(E75:E78)</f>
        <v>0</v>
      </c>
      <c r="F74" s="20">
        <f t="shared" si="174"/>
        <v>0</v>
      </c>
      <c r="G74" s="20">
        <f t="shared" si="174"/>
        <v>0</v>
      </c>
      <c r="H74" s="20">
        <f t="shared" ref="H74:I74" si="175">SUM(H75:H78)</f>
        <v>0</v>
      </c>
      <c r="I74" s="20">
        <f t="shared" si="175"/>
        <v>0</v>
      </c>
      <c r="J74" s="20">
        <f t="shared" ref="J74:K74" si="176">SUM(J75:J78)</f>
        <v>0</v>
      </c>
      <c r="K74" s="20">
        <f t="shared" si="176"/>
        <v>0</v>
      </c>
      <c r="L74" s="20">
        <f t="shared" ref="L74:M74" si="177">SUM(L75:L78)</f>
        <v>0</v>
      </c>
      <c r="M74" s="20">
        <f t="shared" si="177"/>
        <v>0</v>
      </c>
      <c r="N74" s="20">
        <f t="shared" ref="N74:O74" si="178">SUM(N75:N78)</f>
        <v>0</v>
      </c>
      <c r="O74" s="20">
        <f t="shared" si="178"/>
        <v>0</v>
      </c>
      <c r="P74" s="20">
        <f t="shared" ref="P74:Q74" si="179">SUM(P75:P78)</f>
        <v>0</v>
      </c>
      <c r="Q74" s="20">
        <f t="shared" si="179"/>
        <v>0</v>
      </c>
      <c r="R74" s="20">
        <f t="shared" ref="R74:S74" si="180">SUM(R75:R78)</f>
        <v>0</v>
      </c>
      <c r="S74" s="20">
        <f t="shared" si="180"/>
        <v>0</v>
      </c>
      <c r="T74" s="20">
        <f t="shared" ref="T74:U74" si="181">SUM(T75:T78)</f>
        <v>0</v>
      </c>
      <c r="U74" s="20">
        <f t="shared" si="181"/>
        <v>0</v>
      </c>
      <c r="V74" s="20">
        <f t="shared" ref="V74:W74" si="182">SUM(V75:V78)</f>
        <v>0</v>
      </c>
      <c r="W74" s="20">
        <f t="shared" si="182"/>
        <v>0</v>
      </c>
      <c r="X74" s="20">
        <f t="shared" ref="X74:Y74" si="183">SUM(X75:X78)</f>
        <v>0</v>
      </c>
      <c r="Y74" s="20">
        <f t="shared" si="183"/>
        <v>0</v>
      </c>
      <c r="Z74" s="20">
        <f t="shared" ref="Z74:AA74" si="184">SUM(Z75:Z78)</f>
        <v>0</v>
      </c>
      <c r="AA74" s="20">
        <f t="shared" si="184"/>
        <v>0</v>
      </c>
    </row>
    <row r="75" spans="2:27" s="28" customFormat="1" ht="15" customHeight="1" x14ac:dyDescent="0.15">
      <c r="B75" s="29" t="s">
        <v>28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</row>
    <row r="76" spans="2:27" s="28" customFormat="1" ht="15" customHeight="1" x14ac:dyDescent="0.15">
      <c r="B76" s="29" t="s">
        <v>29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</row>
    <row r="77" spans="2:27" s="28" customFormat="1" ht="15" customHeight="1" x14ac:dyDescent="0.15">
      <c r="B77" s="29" t="s">
        <v>30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</row>
    <row r="78" spans="2:27" s="28" customFormat="1" ht="15" customHeight="1" x14ac:dyDescent="0.15">
      <c r="B78" s="29" t="s">
        <v>31</v>
      </c>
      <c r="C78" s="31">
        <v>0</v>
      </c>
      <c r="D78" s="31">
        <f>0+0</f>
        <v>0</v>
      </c>
      <c r="E78" s="31">
        <f>0+0</f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</row>
    <row r="79" spans="2:27" ht="15" customHeight="1" x14ac:dyDescent="0.2">
      <c r="B79" s="36"/>
      <c r="C79" s="2"/>
      <c r="D79" s="2"/>
      <c r="E79" s="2"/>
      <c r="F79" s="2"/>
      <c r="G79" s="2"/>
      <c r="H79" s="2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2:27" x14ac:dyDescent="0.2">
      <c r="B80" s="9" t="s">
        <v>35</v>
      </c>
      <c r="C80" s="7">
        <f t="shared" ref="C80:D80" si="185">SUM(C81:C85)</f>
        <v>150680</v>
      </c>
      <c r="D80" s="7">
        <f t="shared" si="185"/>
        <v>277058</v>
      </c>
      <c r="E80" s="7">
        <f t="shared" ref="E80:G80" si="186">SUM(E81:E85)</f>
        <v>179433</v>
      </c>
      <c r="F80" s="7">
        <f t="shared" si="186"/>
        <v>229037.109</v>
      </c>
      <c r="G80" s="7">
        <f t="shared" si="186"/>
        <v>94165.467130000005</v>
      </c>
      <c r="H80" s="7">
        <f t="shared" ref="H80:I80" si="187">SUM(H81:H85)</f>
        <v>122545.11497</v>
      </c>
      <c r="I80" s="7">
        <f t="shared" si="187"/>
        <v>95652.41042</v>
      </c>
      <c r="J80" s="7">
        <f t="shared" ref="J80:K80" si="188">SUM(J81:J85)</f>
        <v>392104.26178</v>
      </c>
      <c r="K80" s="7">
        <f t="shared" si="188"/>
        <v>380595.27081000002</v>
      </c>
      <c r="L80" s="7">
        <f t="shared" ref="L80:M80" si="189">SUM(L81:L85)</f>
        <v>333491.34483999998</v>
      </c>
      <c r="M80" s="7">
        <f t="shared" si="189"/>
        <v>327329.98193000001</v>
      </c>
      <c r="N80" s="7">
        <f t="shared" ref="N80:O80" si="190">SUM(N81:N85)</f>
        <v>504949.14114000002</v>
      </c>
      <c r="O80" s="7">
        <f t="shared" si="190"/>
        <v>813537.33591999998</v>
      </c>
      <c r="P80" s="7">
        <f t="shared" ref="P80:Q80" si="191">SUM(P81:P85)</f>
        <v>1024897.8502900001</v>
      </c>
      <c r="Q80" s="7">
        <f t="shared" si="191"/>
        <v>1121284.22511</v>
      </c>
      <c r="R80" s="7">
        <f t="shared" ref="R80:S80" si="192">SUM(R81:R85)</f>
        <v>1463434.8147500001</v>
      </c>
      <c r="S80" s="7">
        <f t="shared" si="192"/>
        <v>1421025.64344</v>
      </c>
      <c r="T80" s="7">
        <f t="shared" ref="T80:U80" si="193">SUM(T81:T85)</f>
        <v>1458594.0985099999</v>
      </c>
      <c r="U80" s="7">
        <f t="shared" si="193"/>
        <v>1498445.58115</v>
      </c>
      <c r="V80" s="7">
        <f t="shared" ref="V80:W80" si="194">SUM(V81:V85)</f>
        <v>1459512.54152</v>
      </c>
      <c r="W80" s="7">
        <f t="shared" si="194"/>
        <v>1490978.5923900001</v>
      </c>
      <c r="X80" s="7">
        <f t="shared" ref="X80:Y80" si="195">SUM(X81:X85)</f>
        <v>1461863.4539999999</v>
      </c>
      <c r="Y80" s="7">
        <f t="shared" si="195"/>
        <v>1852650.4596500001</v>
      </c>
      <c r="Z80" s="7">
        <f t="shared" ref="Z80" si="196">SUM(Z81:Z85)</f>
        <v>1828733.30791</v>
      </c>
      <c r="AA80" s="7">
        <f>SUM(AA81:AA85)</f>
        <v>1767013.66561</v>
      </c>
    </row>
    <row r="81" spans="1:27" s="10" customFormat="1" ht="15" customHeight="1" x14ac:dyDescent="0.15">
      <c r="B81" s="11" t="s">
        <v>20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5513.17</v>
      </c>
      <c r="Y81" s="20">
        <v>5314.7120000000004</v>
      </c>
      <c r="Z81" s="20">
        <v>5224.92</v>
      </c>
      <c r="AA81" s="20">
        <v>5146.5910000000003</v>
      </c>
    </row>
    <row r="82" spans="1:27" s="10" customFormat="1" ht="15" customHeight="1" x14ac:dyDescent="0.15">
      <c r="B82" s="11" t="s">
        <v>42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225000</v>
      </c>
      <c r="N82" s="20">
        <v>475000</v>
      </c>
      <c r="O82" s="20">
        <v>450000</v>
      </c>
      <c r="P82" s="20">
        <v>500000</v>
      </c>
      <c r="Q82" s="20">
        <v>675000</v>
      </c>
      <c r="R82" s="20">
        <v>600000</v>
      </c>
      <c r="S82" s="20">
        <v>600000</v>
      </c>
      <c r="T82" s="20">
        <v>450000</v>
      </c>
      <c r="U82" s="20">
        <v>650000</v>
      </c>
      <c r="V82" s="20">
        <v>800000</v>
      </c>
      <c r="W82" s="20">
        <v>800000</v>
      </c>
      <c r="X82" s="20">
        <v>800000</v>
      </c>
      <c r="Y82" s="20">
        <v>1050000</v>
      </c>
      <c r="Z82" s="20">
        <v>1000000</v>
      </c>
      <c r="AA82" s="20">
        <v>1000000</v>
      </c>
    </row>
    <row r="83" spans="1:27" s="2" customFormat="1" ht="15" customHeight="1" x14ac:dyDescent="0.15">
      <c r="B83" s="11" t="s">
        <v>71</v>
      </c>
      <c r="C83" s="20">
        <v>150680</v>
      </c>
      <c r="D83" s="20">
        <v>277058</v>
      </c>
      <c r="E83" s="20">
        <v>179433</v>
      </c>
      <c r="F83" s="20">
        <v>229037.109</v>
      </c>
      <c r="G83" s="20">
        <v>94165.467130000005</v>
      </c>
      <c r="H83" s="20">
        <v>122545.11497</v>
      </c>
      <c r="I83" s="20">
        <v>95652.41042</v>
      </c>
      <c r="J83" s="20">
        <v>392104.26178</v>
      </c>
      <c r="K83" s="20">
        <v>380595.27081000002</v>
      </c>
      <c r="L83" s="20">
        <v>333491.34483999998</v>
      </c>
      <c r="M83" s="20">
        <v>102329.98192999999</v>
      </c>
      <c r="N83" s="20">
        <v>28744.609649999999</v>
      </c>
      <c r="O83" s="20">
        <v>362585.33704000001</v>
      </c>
      <c r="P83" s="20">
        <v>480780.47362</v>
      </c>
      <c r="Q83" s="20">
        <v>406728.04463000002</v>
      </c>
      <c r="R83" s="20">
        <v>825573.91778000002</v>
      </c>
      <c r="S83" s="20">
        <v>795025.06643999997</v>
      </c>
      <c r="T83" s="20">
        <v>981846.46262000001</v>
      </c>
      <c r="U83" s="20">
        <v>828823.39914999995</v>
      </c>
      <c r="V83" s="20">
        <v>646523.74552</v>
      </c>
      <c r="W83" s="20">
        <v>678220.27758999995</v>
      </c>
      <c r="X83" s="20">
        <v>649126.98300000001</v>
      </c>
      <c r="Y83" s="20">
        <v>796240.21765000001</v>
      </c>
      <c r="Z83" s="20">
        <v>823239.17790999997</v>
      </c>
      <c r="AA83" s="20">
        <v>761588.27361000003</v>
      </c>
    </row>
    <row r="84" spans="1:27" ht="15" customHeight="1" x14ac:dyDescent="0.2">
      <c r="B84" s="21" t="s">
        <v>75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41412.796000000002</v>
      </c>
      <c r="Q84" s="20">
        <v>38362.097000000002</v>
      </c>
      <c r="R84" s="20">
        <v>34191.680999999997</v>
      </c>
      <c r="S84" s="20">
        <v>26000.577000000001</v>
      </c>
      <c r="T84" s="20">
        <v>26747.635890000001</v>
      </c>
      <c r="U84" s="20">
        <v>18622.182000000001</v>
      </c>
      <c r="V84" s="20">
        <v>12988.796</v>
      </c>
      <c r="W84" s="20">
        <v>12758.3148</v>
      </c>
      <c r="X84" s="20">
        <v>7223.3010000000004</v>
      </c>
      <c r="Y84" s="20">
        <v>1095.53</v>
      </c>
      <c r="Z84" s="20">
        <v>269.20999999999998</v>
      </c>
      <c r="AA84" s="20">
        <v>278.80099999999999</v>
      </c>
    </row>
    <row r="85" spans="1:27" ht="15" customHeight="1" x14ac:dyDescent="0.2">
      <c r="B85" s="21" t="s">
        <v>76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1204.5314900000001</v>
      </c>
      <c r="O85" s="20">
        <v>951.99887999999999</v>
      </c>
      <c r="P85" s="20">
        <v>2704.5806699999998</v>
      </c>
      <c r="Q85" s="20">
        <v>1194.08348</v>
      </c>
      <c r="R85" s="20">
        <v>3669.2159700000002</v>
      </c>
      <c r="S85" s="20">
        <v>0</v>
      </c>
      <c r="T85" s="20">
        <v>0</v>
      </c>
      <c r="U85" s="20">
        <v>1000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</row>
    <row r="86" spans="1:27" ht="15" customHeight="1" x14ac:dyDescent="0.2">
      <c r="B86" s="1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s="2" customFormat="1" ht="15" customHeight="1" x14ac:dyDescent="0.15">
      <c r="A87" s="27">
        <v>5</v>
      </c>
      <c r="B87" s="6" t="s">
        <v>0</v>
      </c>
      <c r="C87" s="7">
        <v>13658</v>
      </c>
      <c r="D87" s="7">
        <v>12917</v>
      </c>
      <c r="E87" s="7">
        <v>11364</v>
      </c>
      <c r="F87" s="7">
        <v>10494.132</v>
      </c>
      <c r="G87" s="7">
        <v>9769.9557199999999</v>
      </c>
      <c r="H87" s="7">
        <v>9748.1374599999999</v>
      </c>
      <c r="I87" s="7">
        <v>9404.6740100000006</v>
      </c>
      <c r="J87" s="7">
        <v>7941.4973799999998</v>
      </c>
      <c r="K87" s="7">
        <v>7429.5812800000003</v>
      </c>
      <c r="L87" s="7">
        <v>6820.4095399999997</v>
      </c>
      <c r="M87" s="7">
        <v>6456.1382999999996</v>
      </c>
      <c r="N87" s="7">
        <v>6037.2892300000003</v>
      </c>
      <c r="O87" s="7">
        <v>5669.9458199999999</v>
      </c>
      <c r="P87" s="7">
        <v>5843.9425199999996</v>
      </c>
      <c r="Q87" s="7">
        <v>5526.42515</v>
      </c>
      <c r="R87" s="7">
        <v>4831.5042800000001</v>
      </c>
      <c r="S87" s="7">
        <v>5177.2777100000003</v>
      </c>
      <c r="T87" s="7">
        <v>4812.0732200000002</v>
      </c>
      <c r="U87" s="7">
        <v>5169.2903900000001</v>
      </c>
      <c r="V87" s="7">
        <v>6435.2155199999997</v>
      </c>
      <c r="W87" s="7">
        <v>6489.4840700000004</v>
      </c>
      <c r="X87" s="7">
        <v>7815.6170000000002</v>
      </c>
      <c r="Y87" s="7">
        <v>8447.2620700000007</v>
      </c>
      <c r="Z87" s="7">
        <v>7780.9069099999997</v>
      </c>
      <c r="AA87" s="7">
        <v>5442.05195</v>
      </c>
    </row>
    <row r="88" spans="1:27" s="2" customFormat="1" ht="15" customHeight="1" x14ac:dyDescent="0.15">
      <c r="A88" s="27">
        <v>6</v>
      </c>
      <c r="B88" s="6" t="s">
        <v>91</v>
      </c>
      <c r="C88" s="7">
        <f>106839+1872</f>
        <v>108711</v>
      </c>
      <c r="D88" s="7">
        <f>105329+1694</f>
        <v>107023</v>
      </c>
      <c r="E88" s="7">
        <f>107867+2236</f>
        <v>110103</v>
      </c>
      <c r="F88" s="7">
        <f>150806.237+2390.324</f>
        <v>153196.56099999999</v>
      </c>
      <c r="G88" s="7">
        <f>157886.8859+2948.66714</f>
        <v>160835.55304</v>
      </c>
      <c r="H88" s="7">
        <f>159310.43333+3275.22486</f>
        <v>162585.65818999999</v>
      </c>
      <c r="I88" s="7">
        <f>162787.80883+2935.42344</f>
        <v>165723.23227000001</v>
      </c>
      <c r="J88" s="7">
        <f>176541.8832+2983.05747</f>
        <v>179524.94067000001</v>
      </c>
      <c r="K88" s="7">
        <f>177374.7192+3717.23622</f>
        <v>181091.95541999998</v>
      </c>
      <c r="L88" s="7">
        <f>172675.90315+3011.39953</f>
        <v>175687.30267999999</v>
      </c>
      <c r="M88" s="7">
        <f>150661.45079+26783.25973</f>
        <v>177444.71051999999</v>
      </c>
      <c r="N88" s="7">
        <f>156186.17972+25420.20939</f>
        <v>181606.38910999999</v>
      </c>
      <c r="O88" s="7">
        <f>174816.28157+24005.30652</f>
        <v>198821.58808999998</v>
      </c>
      <c r="P88" s="7">
        <f>175629.90072+26955.52132</f>
        <v>202585.42204</v>
      </c>
      <c r="Q88" s="7">
        <f>177743.41031+37508.67086</f>
        <v>215252.08117000002</v>
      </c>
      <c r="R88" s="7">
        <f>167816.05025+24433.70888</f>
        <v>192249.75912999999</v>
      </c>
      <c r="S88" s="7">
        <f>175696.44673+27558.21802</f>
        <v>203254.66475</v>
      </c>
      <c r="T88" s="7">
        <f>192236.99561+26910.86363</f>
        <v>219147.85924000002</v>
      </c>
      <c r="U88" s="7">
        <f>190592.69681+26243.65719</f>
        <v>216836.35399999999</v>
      </c>
      <c r="V88" s="7">
        <f>205708.19158+6681.45664</f>
        <v>212389.64822</v>
      </c>
      <c r="W88" s="7">
        <f>207668.02994+7235.10489</f>
        <v>214903.13483</v>
      </c>
      <c r="X88" s="7">
        <f>209112.724+6141.455</f>
        <v>215254.17899999997</v>
      </c>
      <c r="Y88" s="7">
        <f>203205.51635+6054.61969</f>
        <v>209260.13603999998</v>
      </c>
      <c r="Z88" s="7">
        <f>203205.51635+6054.61969</f>
        <v>209260.13603999998</v>
      </c>
      <c r="AA88" s="7">
        <v>211040.11515999999</v>
      </c>
    </row>
    <row r="89" spans="1:27" s="2" customFormat="1" ht="15" customHeight="1" x14ac:dyDescent="0.15">
      <c r="A89" s="27">
        <v>7</v>
      </c>
      <c r="B89" s="6" t="s">
        <v>1</v>
      </c>
      <c r="C89" s="38">
        <f t="shared" ref="C89" si="197">C7+C8+C21+C38+C55+C87+C88</f>
        <v>5564563</v>
      </c>
      <c r="D89" s="38">
        <f t="shared" ref="D89" si="198">D7+D8+D21+D38+D55+D87+D88</f>
        <v>3929729</v>
      </c>
      <c r="E89" s="38">
        <f t="shared" ref="E89:F89" si="199">E7+E8+E21+E38+E55+E87+E88</f>
        <v>3737321</v>
      </c>
      <c r="F89" s="38">
        <f t="shared" si="199"/>
        <v>4969341.2560000001</v>
      </c>
      <c r="G89" s="38">
        <f t="shared" ref="G89:L89" si="200">G7+G8+G21+G38+G55+G87+G88</f>
        <v>4847479.1642199997</v>
      </c>
      <c r="H89" s="38">
        <f t="shared" si="200"/>
        <v>5777005.3764700005</v>
      </c>
      <c r="I89" s="38">
        <f t="shared" si="200"/>
        <v>6514879.3275300004</v>
      </c>
      <c r="J89" s="38">
        <f t="shared" si="200"/>
        <v>6207772.7770900009</v>
      </c>
      <c r="K89" s="38">
        <f t="shared" si="200"/>
        <v>7320813.1950499993</v>
      </c>
      <c r="L89" s="38">
        <f t="shared" si="200"/>
        <v>5917052.2755800001</v>
      </c>
      <c r="M89" s="38">
        <f t="shared" ref="M89:N89" si="201">M7+M8+M21+M38+M55+M87+M88</f>
        <v>5701905.5591900004</v>
      </c>
      <c r="N89" s="38">
        <f t="shared" si="201"/>
        <v>5487914.8235299988</v>
      </c>
      <c r="O89" s="38">
        <f t="shared" ref="O89" si="202">O7+O8+O21+O38+O55+O87+O88</f>
        <v>6245344.7368900003</v>
      </c>
      <c r="P89" s="38">
        <f t="shared" ref="P89:U89" si="203">P7+P8+P21+P38+P55+P87+P88</f>
        <v>5731359.8934299992</v>
      </c>
      <c r="Q89" s="38">
        <f t="shared" si="203"/>
        <v>7512124.2037499994</v>
      </c>
      <c r="R89" s="38">
        <f t="shared" si="203"/>
        <v>6380372.09509</v>
      </c>
      <c r="S89" s="38">
        <f t="shared" si="203"/>
        <v>6119786.1122700013</v>
      </c>
      <c r="T89" s="38">
        <f t="shared" si="203"/>
        <v>6034345.4449399998</v>
      </c>
      <c r="U89" s="38">
        <f t="shared" si="203"/>
        <v>7697562.3332900004</v>
      </c>
      <c r="V89" s="38">
        <f t="shared" ref="V89:W89" si="204">V7+V8+V21+V38+V55+V87+V88</f>
        <v>6841122.4956099996</v>
      </c>
      <c r="W89" s="38">
        <f t="shared" si="204"/>
        <v>7409137.8812900009</v>
      </c>
      <c r="X89" s="7">
        <f>X7+X8+X21+X38+X55+X87+X88</f>
        <v>7934436.0011799987</v>
      </c>
      <c r="Y89" s="7">
        <f>Y7+Y8+Y21+Y38+Y55+Y87+Y88</f>
        <v>7625456.273670001</v>
      </c>
      <c r="Z89" s="7">
        <f>Z7+Z8+Z21+Z38+Z55+Z87+Z88</f>
        <v>7444956.1474000011</v>
      </c>
      <c r="AA89" s="7">
        <f>AA7+AA8+AA21+AA38+AA55+AA87+AA88</f>
        <v>7406756.4576600008</v>
      </c>
    </row>
    <row r="90" spans="1:27" s="39" customFormat="1" ht="19.5" customHeight="1" thickBot="1" x14ac:dyDescent="0.25">
      <c r="B90" s="40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 ht="15.95" customHeight="1" thickBot="1" x14ac:dyDescent="0.25">
      <c r="B91" s="139" t="s">
        <v>92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55"/>
    </row>
    <row r="92" spans="1:27" ht="12" customHeight="1" thickBot="1" x14ac:dyDescent="0.25">
      <c r="B92" s="4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s="2" customFormat="1" ht="18.95" customHeight="1" thickBot="1" x14ac:dyDescent="0.2">
      <c r="B93" s="42" t="s">
        <v>23</v>
      </c>
      <c r="C93" s="142" t="s">
        <v>93</v>
      </c>
      <c r="D93" s="142" t="s">
        <v>94</v>
      </c>
      <c r="E93" s="142" t="s">
        <v>95</v>
      </c>
      <c r="F93" s="142" t="s">
        <v>96</v>
      </c>
      <c r="G93" s="142" t="s">
        <v>97</v>
      </c>
      <c r="H93" s="142" t="s">
        <v>98</v>
      </c>
      <c r="I93" s="142" t="s">
        <v>99</v>
      </c>
      <c r="J93" s="142" t="s">
        <v>100</v>
      </c>
      <c r="K93" s="142" t="s">
        <v>101</v>
      </c>
      <c r="L93" s="142" t="s">
        <v>103</v>
      </c>
      <c r="M93" s="142" t="s">
        <v>104</v>
      </c>
      <c r="N93" s="142" t="s">
        <v>105</v>
      </c>
      <c r="O93" s="142" t="s">
        <v>106</v>
      </c>
      <c r="P93" s="142" t="s">
        <v>107</v>
      </c>
      <c r="Q93" s="142" t="s">
        <v>108</v>
      </c>
      <c r="R93" s="142" t="s">
        <v>109</v>
      </c>
      <c r="S93" s="142" t="s">
        <v>110</v>
      </c>
      <c r="T93" s="142" t="s">
        <v>111</v>
      </c>
      <c r="U93" s="142" t="s">
        <v>112</v>
      </c>
      <c r="V93" s="142" t="s">
        <v>113</v>
      </c>
      <c r="W93" s="142" t="s">
        <v>114</v>
      </c>
      <c r="X93" s="142" t="s">
        <v>115</v>
      </c>
      <c r="Y93" s="142" t="s">
        <v>116</v>
      </c>
      <c r="Z93" s="142" t="s">
        <v>117</v>
      </c>
      <c r="AA93" s="143" t="s">
        <v>118</v>
      </c>
    </row>
    <row r="94" spans="1:27" s="2" customFormat="1" ht="15.95" customHeight="1" x14ac:dyDescent="0.15">
      <c r="B94" s="6" t="s">
        <v>2</v>
      </c>
      <c r="C94" s="7">
        <f t="shared" ref="C94" si="205">+C98+C108+C118</f>
        <v>3452936</v>
      </c>
      <c r="D94" s="7">
        <f t="shared" ref="D94" si="206">+D98+D108+D118</f>
        <v>2803194</v>
      </c>
      <c r="E94" s="7">
        <f t="shared" ref="E94:G94" si="207">+E98+E108+E118</f>
        <v>2810933</v>
      </c>
      <c r="F94" s="7">
        <f t="shared" si="207"/>
        <v>3786047.0700000003</v>
      </c>
      <c r="G94" s="7">
        <f t="shared" si="207"/>
        <v>3204423.7022399995</v>
      </c>
      <c r="H94" s="7">
        <f t="shared" ref="H94:I94" si="208">+H98+H108+H118</f>
        <v>4332187.3550500004</v>
      </c>
      <c r="I94" s="7">
        <f t="shared" si="208"/>
        <v>4562892.4545799997</v>
      </c>
      <c r="J94" s="7">
        <f t="shared" ref="J94:K94" si="209">+J98+J108+J118</f>
        <v>4550360.9268399999</v>
      </c>
      <c r="K94" s="7">
        <f t="shared" si="209"/>
        <v>4859930.12677</v>
      </c>
      <c r="L94" s="7">
        <f t="shared" ref="L94:N94" si="210">+L98+L108+L118</f>
        <v>4123809.2278800001</v>
      </c>
      <c r="M94" s="7">
        <f t="shared" si="210"/>
        <v>3736616.8419300001</v>
      </c>
      <c r="N94" s="7">
        <f t="shared" si="210"/>
        <v>3613189.5892500002</v>
      </c>
      <c r="O94" s="7">
        <f t="shared" ref="O94:P94" si="211">+O98+O108+O118</f>
        <v>4240201.1514800005</v>
      </c>
      <c r="P94" s="7">
        <f t="shared" si="211"/>
        <v>3555227.2992400001</v>
      </c>
      <c r="Q94" s="7">
        <f t="shared" ref="Q94:R94" si="212">+Q98+Q108+Q118</f>
        <v>3993125.0191299999</v>
      </c>
      <c r="R94" s="7">
        <f t="shared" si="212"/>
        <v>3628903.17649</v>
      </c>
      <c r="S94" s="7">
        <f t="shared" ref="S94:T94" si="213">+S98+S108+S118</f>
        <v>3658255.9445399996</v>
      </c>
      <c r="T94" s="7">
        <f t="shared" si="213"/>
        <v>3910030.4647300006</v>
      </c>
      <c r="U94" s="7">
        <f t="shared" ref="U94:V94" si="214">+U98+U108+U118</f>
        <v>5222313.5381899998</v>
      </c>
      <c r="V94" s="7">
        <f t="shared" si="214"/>
        <v>4316321.1590600004</v>
      </c>
      <c r="W94" s="7">
        <f t="shared" ref="W94:X94" si="215">+W98+W108+W118</f>
        <v>4968224.8251800006</v>
      </c>
      <c r="X94" s="7">
        <f t="shared" si="215"/>
        <v>5000359.1965999994</v>
      </c>
      <c r="Y94" s="7">
        <f t="shared" ref="Y94:Z94" si="216">+Y98+Y108+Y118</f>
        <v>4341877.6682500001</v>
      </c>
      <c r="Z94" s="7">
        <f t="shared" si="216"/>
        <v>5196135.8639400005</v>
      </c>
      <c r="AA94" s="7">
        <f t="shared" ref="AA94" si="217">+AA98+AA108+AA118</f>
        <v>4787646.7165299999</v>
      </c>
    </row>
    <row r="95" spans="1:27" s="2" customFormat="1" ht="15.95" customHeight="1" x14ac:dyDescent="0.15">
      <c r="B95" s="6" t="s">
        <v>3</v>
      </c>
      <c r="C95" s="7">
        <f t="shared" ref="C95" si="218">+C128</f>
        <v>577346</v>
      </c>
      <c r="D95" s="7">
        <f t="shared" ref="D95" si="219">+D128</f>
        <v>534105</v>
      </c>
      <c r="E95" s="7">
        <f t="shared" ref="E95:G95" si="220">+E128</f>
        <v>403315</v>
      </c>
      <c r="F95" s="7">
        <f t="shared" si="220"/>
        <v>616410.26699999999</v>
      </c>
      <c r="G95" s="7">
        <f t="shared" si="220"/>
        <v>670624.48914999992</v>
      </c>
      <c r="H95" s="7">
        <f t="shared" ref="H95:I95" si="221">+H128</f>
        <v>532301.49635999999</v>
      </c>
      <c r="I95" s="7">
        <f t="shared" si="221"/>
        <v>740210.24819000007</v>
      </c>
      <c r="J95" s="7">
        <f t="shared" ref="J95:K95" si="222">+J128</f>
        <v>788474.42481999996</v>
      </c>
      <c r="K95" s="7">
        <f t="shared" si="222"/>
        <v>1481493.6351999999</v>
      </c>
      <c r="L95" s="7">
        <f t="shared" ref="L95:M95" si="223">+L128</f>
        <v>846099.06397000002</v>
      </c>
      <c r="M95" s="7">
        <f t="shared" si="223"/>
        <v>747095.44402000005</v>
      </c>
      <c r="N95" s="7">
        <f t="shared" ref="N95:O95" si="224">+N128</f>
        <v>721955.16813999997</v>
      </c>
      <c r="O95" s="7">
        <f t="shared" si="224"/>
        <v>968493.98479999998</v>
      </c>
      <c r="P95" s="7">
        <f t="shared" ref="P95:Q95" si="225">+P128</f>
        <v>977263.37902999995</v>
      </c>
      <c r="Q95" s="7">
        <f t="shared" si="225"/>
        <v>2313613.0702799996</v>
      </c>
      <c r="R95" s="7">
        <f t="shared" ref="R95:S95" si="226">+R128</f>
        <v>1316521.1024499999</v>
      </c>
      <c r="S95" s="7">
        <f t="shared" si="226"/>
        <v>1319443.3539700001</v>
      </c>
      <c r="T95" s="7">
        <f t="shared" ref="T95:U95" si="227">+T128</f>
        <v>983174.88179000001</v>
      </c>
      <c r="U95" s="7">
        <f t="shared" si="227"/>
        <v>1122631.7823399999</v>
      </c>
      <c r="V95" s="7">
        <f t="shared" ref="V95:W95" si="228">+V128</f>
        <v>1176733.54767</v>
      </c>
      <c r="W95" s="7">
        <f t="shared" si="228"/>
        <v>1157050.7720300001</v>
      </c>
      <c r="X95" s="7">
        <f t="shared" ref="X95:Y95" si="229">+X128</f>
        <v>1294321.94</v>
      </c>
      <c r="Y95" s="7">
        <f t="shared" si="229"/>
        <v>2003239.5529300002</v>
      </c>
      <c r="Z95" s="7">
        <f t="shared" ref="Z95:AA95" si="230">+Z128</f>
        <v>1213077.4131599998</v>
      </c>
      <c r="AA95" s="7">
        <f t="shared" si="230"/>
        <v>1055824.06039</v>
      </c>
    </row>
    <row r="96" spans="1:27" s="2" customFormat="1" ht="15.95" customHeight="1" x14ac:dyDescent="0.15">
      <c r="B96" s="6" t="s">
        <v>13</v>
      </c>
      <c r="C96" s="7">
        <f t="shared" ref="C96:D96" si="231">SUM(C94:C95)</f>
        <v>4030282</v>
      </c>
      <c r="D96" s="7">
        <f t="shared" si="231"/>
        <v>3337299</v>
      </c>
      <c r="E96" s="7">
        <f t="shared" ref="E96:G96" si="232">SUM(E94:E95)</f>
        <v>3214248</v>
      </c>
      <c r="F96" s="7">
        <f t="shared" si="232"/>
        <v>4402457.3370000003</v>
      </c>
      <c r="G96" s="7">
        <f t="shared" si="232"/>
        <v>3875048.1913899994</v>
      </c>
      <c r="H96" s="7">
        <f t="shared" ref="H96:I96" si="233">SUM(H94:H95)</f>
        <v>4864488.8514100006</v>
      </c>
      <c r="I96" s="7">
        <f t="shared" si="233"/>
        <v>5303102.7027699994</v>
      </c>
      <c r="J96" s="7">
        <f t="shared" ref="J96:K96" si="234">SUM(J94:J95)</f>
        <v>5338835.3516600002</v>
      </c>
      <c r="K96" s="7">
        <f t="shared" si="234"/>
        <v>6341423.7619700003</v>
      </c>
      <c r="L96" s="7">
        <f t="shared" ref="L96:M96" si="235">SUM(L94:L95)</f>
        <v>4969908.2918500006</v>
      </c>
      <c r="M96" s="7">
        <f t="shared" si="235"/>
        <v>4483712.2859500004</v>
      </c>
      <c r="N96" s="7">
        <f t="shared" ref="N96:O96" si="236">SUM(N94:N95)</f>
        <v>4335144.7573899999</v>
      </c>
      <c r="O96" s="7">
        <f t="shared" si="236"/>
        <v>5208695.1362800002</v>
      </c>
      <c r="P96" s="7">
        <f t="shared" ref="P96:Q96" si="237">SUM(P94:P95)</f>
        <v>4532490.67827</v>
      </c>
      <c r="Q96" s="7">
        <f t="shared" si="237"/>
        <v>6306738.0894099995</v>
      </c>
      <c r="R96" s="7">
        <f t="shared" ref="R96:S96" si="238">SUM(R94:R95)</f>
        <v>4945424.2789399996</v>
      </c>
      <c r="S96" s="7">
        <f t="shared" si="238"/>
        <v>4977699.2985100001</v>
      </c>
      <c r="T96" s="7">
        <f t="shared" ref="T96:U96" si="239">SUM(T94:T95)</f>
        <v>4893205.3465200011</v>
      </c>
      <c r="U96" s="7">
        <f t="shared" si="239"/>
        <v>6344945.3205299992</v>
      </c>
      <c r="V96" s="7">
        <f t="shared" ref="V96:W96" si="240">SUM(V94:V95)</f>
        <v>5493054.7067300007</v>
      </c>
      <c r="W96" s="7">
        <f t="shared" si="240"/>
        <v>6125275.5972100012</v>
      </c>
      <c r="X96" s="7">
        <f t="shared" ref="X96:Y96" si="241">SUM(X94:X95)</f>
        <v>6294681.1365999989</v>
      </c>
      <c r="Y96" s="7">
        <f t="shared" si="241"/>
        <v>6345117.2211800003</v>
      </c>
      <c r="Z96" s="7">
        <f t="shared" ref="Z96:AA96" si="242">SUM(Z94:Z95)</f>
        <v>6409213.2771000005</v>
      </c>
      <c r="AA96" s="7">
        <f t="shared" si="242"/>
        <v>5843470.7769200001</v>
      </c>
    </row>
    <row r="97" spans="1:27" ht="12" customHeight="1" x14ac:dyDescent="0.2">
      <c r="B97" s="4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s="2" customFormat="1" ht="11.25" x14ac:dyDescent="0.15">
      <c r="A98" s="27">
        <v>8</v>
      </c>
      <c r="B98" s="44" t="s">
        <v>10</v>
      </c>
      <c r="C98" s="7">
        <f t="shared" ref="C98" si="243">SUM(C99:C106)</f>
        <v>224759</v>
      </c>
      <c r="D98" s="7">
        <f t="shared" ref="D98" si="244">SUM(D99:D106)</f>
        <v>250096</v>
      </c>
      <c r="E98" s="7">
        <f t="shared" ref="E98:G98" si="245">SUM(E99:E106)</f>
        <v>253980</v>
      </c>
      <c r="F98" s="7">
        <f t="shared" si="245"/>
        <v>213065.73699999999</v>
      </c>
      <c r="G98" s="7">
        <f t="shared" si="245"/>
        <v>215935.83577000001</v>
      </c>
      <c r="H98" s="7">
        <f t="shared" ref="H98:I98" si="246">SUM(H99:H106)</f>
        <v>238309.64142</v>
      </c>
      <c r="I98" s="7">
        <f t="shared" si="246"/>
        <v>261027.78107999999</v>
      </c>
      <c r="J98" s="7">
        <f t="shared" ref="J98:K98" si="247">SUM(J99:J106)</f>
        <v>301951.04268999997</v>
      </c>
      <c r="K98" s="7">
        <f t="shared" si="247"/>
        <v>266024.88042</v>
      </c>
      <c r="L98" s="7">
        <f t="shared" ref="L98:M98" si="248">SUM(L99:L106)</f>
        <v>271567.39780999999</v>
      </c>
      <c r="M98" s="7">
        <f t="shared" si="248"/>
        <v>265863.50416000001</v>
      </c>
      <c r="N98" s="7">
        <f t="shared" ref="N98:O98" si="249">SUM(N99:N106)</f>
        <v>219897.28169</v>
      </c>
      <c r="O98" s="7">
        <f t="shared" si="249"/>
        <v>199548.53669000001</v>
      </c>
      <c r="P98" s="7">
        <f t="shared" ref="P98:Q98" si="250">SUM(P99:P106)</f>
        <v>173993.65693999999</v>
      </c>
      <c r="Q98" s="7">
        <f t="shared" si="250"/>
        <v>185193.97022000002</v>
      </c>
      <c r="R98" s="7">
        <f t="shared" ref="R98:S98" si="251">SUM(R99:R106)</f>
        <v>157960.55265000003</v>
      </c>
      <c r="S98" s="7">
        <f t="shared" si="251"/>
        <v>178674.81468000001</v>
      </c>
      <c r="T98" s="7">
        <f t="shared" ref="T98:U98" si="252">SUM(T99:T106)</f>
        <v>117997.67365000001</v>
      </c>
      <c r="U98" s="7">
        <f t="shared" si="252"/>
        <v>151062.08252</v>
      </c>
      <c r="V98" s="7">
        <f t="shared" ref="V98:W98" si="253">SUM(V99:V106)</f>
        <v>102102.21222</v>
      </c>
      <c r="W98" s="7">
        <f t="shared" si="253"/>
        <v>509082.93329000002</v>
      </c>
      <c r="X98" s="7">
        <f t="shared" ref="X98:Y98" si="254">SUM(X99:X106)</f>
        <v>145690.91400000002</v>
      </c>
      <c r="Y98" s="7">
        <f t="shared" si="254"/>
        <v>111783.56892000001</v>
      </c>
      <c r="Z98" s="7">
        <f t="shared" ref="Z98:AA98" si="255">SUM(Z99:Z106)</f>
        <v>139702.06307000003</v>
      </c>
      <c r="AA98" s="7">
        <f t="shared" si="255"/>
        <v>130353.70981</v>
      </c>
    </row>
    <row r="99" spans="1:27" s="10" customFormat="1" ht="15" customHeight="1" x14ac:dyDescent="0.15">
      <c r="A99" s="45"/>
      <c r="B99" s="10" t="s">
        <v>4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</row>
    <row r="100" spans="1:27" s="10" customFormat="1" ht="15" customHeight="1" x14ac:dyDescent="0.15">
      <c r="A100" s="45"/>
      <c r="B100" s="10" t="s">
        <v>5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</row>
    <row r="101" spans="1:27" s="10" customFormat="1" ht="15" customHeight="1" x14ac:dyDescent="0.15">
      <c r="A101" s="45"/>
      <c r="B101" s="10" t="s">
        <v>25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94.907030000000006</v>
      </c>
      <c r="R101" s="46">
        <v>683.74491</v>
      </c>
      <c r="S101" s="46">
        <v>777.27828999999997</v>
      </c>
      <c r="T101" s="46">
        <v>752.75540000000001</v>
      </c>
      <c r="U101" s="46">
        <v>153.84961999999999</v>
      </c>
      <c r="V101" s="46">
        <v>1958.54684</v>
      </c>
      <c r="W101" s="46">
        <v>62.932960000000001</v>
      </c>
      <c r="X101" s="46">
        <v>13.151</v>
      </c>
      <c r="Y101" s="46">
        <v>16.088100000000001</v>
      </c>
      <c r="Z101" s="46">
        <v>28.76858</v>
      </c>
      <c r="AA101" s="46">
        <v>33.17483</v>
      </c>
    </row>
    <row r="102" spans="1:27" s="10" customFormat="1" ht="15" customHeight="1" x14ac:dyDescent="0.15">
      <c r="A102" s="45"/>
      <c r="B102" s="10" t="s">
        <v>15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</row>
    <row r="103" spans="1:27" s="10" customFormat="1" ht="15" customHeight="1" x14ac:dyDescent="0.15">
      <c r="A103" s="45"/>
      <c r="B103" s="10" t="s">
        <v>32</v>
      </c>
      <c r="C103" s="2">
        <v>0</v>
      </c>
      <c r="D103" s="2">
        <v>0</v>
      </c>
      <c r="E103" s="2">
        <f>0+0</f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46">
        <f>2503.94135+579.94</f>
        <v>3083.8813500000001</v>
      </c>
      <c r="AA103" s="46">
        <v>972.68880000000001</v>
      </c>
    </row>
    <row r="104" spans="1:27" s="10" customFormat="1" ht="15" customHeight="1" x14ac:dyDescent="0.15">
      <c r="A104" s="45"/>
      <c r="B104" s="10" t="s">
        <v>50</v>
      </c>
      <c r="C104" s="46">
        <v>293</v>
      </c>
      <c r="D104" s="46">
        <v>116</v>
      </c>
      <c r="E104" s="46">
        <v>179</v>
      </c>
      <c r="F104" s="46">
        <v>298.18</v>
      </c>
      <c r="G104" s="46">
        <v>204.05742000000001</v>
      </c>
      <c r="H104" s="46">
        <v>197.37988000000001</v>
      </c>
      <c r="I104" s="46">
        <v>191.81707</v>
      </c>
      <c r="J104" s="46">
        <v>116.05983000000001</v>
      </c>
      <c r="K104" s="46">
        <v>83.152969999999996</v>
      </c>
      <c r="L104" s="46">
        <v>74.023099999999999</v>
      </c>
      <c r="M104" s="46">
        <v>68.170339999999996</v>
      </c>
      <c r="N104" s="46">
        <v>109.90304</v>
      </c>
      <c r="O104" s="46">
        <v>75.014309999999995</v>
      </c>
      <c r="P104" s="46">
        <v>73.957319999999996</v>
      </c>
      <c r="Q104" s="46">
        <v>70.601770000000002</v>
      </c>
      <c r="R104" s="46">
        <v>99.52552</v>
      </c>
      <c r="S104" s="46">
        <v>72.244119999999995</v>
      </c>
      <c r="T104" s="46">
        <v>70.372630000000001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46">
        <v>14.223549999999999</v>
      </c>
    </row>
    <row r="105" spans="1:27" s="10" customFormat="1" ht="15" customHeight="1" x14ac:dyDescent="0.15">
      <c r="A105" s="45"/>
      <c r="B105" s="11" t="s">
        <v>71</v>
      </c>
      <c r="C105" s="46">
        <v>224466</v>
      </c>
      <c r="D105" s="46">
        <v>249980</v>
      </c>
      <c r="E105" s="46">
        <v>253801</v>
      </c>
      <c r="F105" s="46">
        <v>212767.557</v>
      </c>
      <c r="G105" s="46">
        <v>215731.77835000001</v>
      </c>
      <c r="H105" s="46">
        <v>238112.26154000001</v>
      </c>
      <c r="I105" s="46">
        <v>260835.96401</v>
      </c>
      <c r="J105" s="46">
        <v>301834.98285999999</v>
      </c>
      <c r="K105" s="46">
        <v>265941.72745000001</v>
      </c>
      <c r="L105" s="46">
        <v>271486.37471</v>
      </c>
      <c r="M105" s="46">
        <v>265770.2218</v>
      </c>
      <c r="N105" s="46">
        <v>219747.60779000001</v>
      </c>
      <c r="O105" s="46">
        <v>199448.75156</v>
      </c>
      <c r="P105" s="46">
        <v>173876.69242000001</v>
      </c>
      <c r="Q105" s="46">
        <v>184951.44221000001</v>
      </c>
      <c r="R105" s="46">
        <v>155706.11011000001</v>
      </c>
      <c r="S105" s="46">
        <v>176610.52549</v>
      </c>
      <c r="T105" s="46">
        <v>115864.065</v>
      </c>
      <c r="U105" s="46">
        <v>150234.17765</v>
      </c>
      <c r="V105" s="46">
        <v>99019.10557</v>
      </c>
      <c r="W105" s="46">
        <v>507084.283</v>
      </c>
      <c r="X105" s="46">
        <v>143633.989</v>
      </c>
      <c r="Y105" s="46">
        <v>110046.577</v>
      </c>
      <c r="Z105" s="46">
        <v>135377.56400000001</v>
      </c>
      <c r="AA105" s="46">
        <v>127495.13499999999</v>
      </c>
    </row>
    <row r="106" spans="1:27" s="10" customFormat="1" ht="15" customHeight="1" x14ac:dyDescent="0.15">
      <c r="A106" s="45"/>
      <c r="B106" s="10" t="s">
        <v>89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7</v>
      </c>
      <c r="M106" s="46">
        <v>25.112020000000001</v>
      </c>
      <c r="N106" s="46">
        <v>39.770859999999999</v>
      </c>
      <c r="O106" s="46">
        <v>24.770820000000001</v>
      </c>
      <c r="P106" s="46">
        <v>43.007199999999997</v>
      </c>
      <c r="Q106" s="46">
        <v>77.019210000000001</v>
      </c>
      <c r="R106" s="46">
        <v>1471.17211</v>
      </c>
      <c r="S106" s="46">
        <v>1214.7667799999999</v>
      </c>
      <c r="T106" s="46">
        <v>1310.48062</v>
      </c>
      <c r="U106" s="46">
        <v>674.05525</v>
      </c>
      <c r="V106" s="46">
        <v>1124.55981</v>
      </c>
      <c r="W106" s="46">
        <v>1935.7173299999999</v>
      </c>
      <c r="X106" s="46">
        <v>2043.7739999999999</v>
      </c>
      <c r="Y106" s="46">
        <v>1720.90382</v>
      </c>
      <c r="Z106" s="46">
        <v>1211.84914</v>
      </c>
      <c r="AA106" s="46">
        <v>1838.4876300000001</v>
      </c>
    </row>
    <row r="107" spans="1:27" ht="12" customHeight="1" x14ac:dyDescent="0.2">
      <c r="A107" s="4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s="2" customFormat="1" ht="15" customHeight="1" x14ac:dyDescent="0.15">
      <c r="A108" s="27">
        <v>9</v>
      </c>
      <c r="B108" s="44" t="s">
        <v>11</v>
      </c>
      <c r="C108" s="7">
        <f t="shared" ref="C108" si="256">SUM(C109:C116)</f>
        <v>3118181</v>
      </c>
      <c r="D108" s="7">
        <f t="shared" ref="D108" si="257">SUM(D109:D116)</f>
        <v>2532455</v>
      </c>
      <c r="E108" s="7">
        <f t="shared" ref="E108:G108" si="258">SUM(E109:E116)</f>
        <v>2552389</v>
      </c>
      <c r="F108" s="7">
        <f t="shared" si="258"/>
        <v>3568417.5759999999</v>
      </c>
      <c r="G108" s="7">
        <f t="shared" si="258"/>
        <v>2988487.8664699998</v>
      </c>
      <c r="H108" s="7">
        <f t="shared" ref="H108:I108" si="259">SUM(H109:H116)</f>
        <v>4093877.7136300001</v>
      </c>
      <c r="I108" s="7">
        <f t="shared" si="259"/>
        <v>4301864.6734999996</v>
      </c>
      <c r="J108" s="7">
        <f t="shared" ref="J108:K108" si="260">SUM(J109:J116)</f>
        <v>4248409.8841500003</v>
      </c>
      <c r="K108" s="7">
        <f t="shared" si="260"/>
        <v>4593905.2463499997</v>
      </c>
      <c r="L108" s="7">
        <f t="shared" ref="L108:M108" si="261">SUM(L109:L116)</f>
        <v>3852241.8300700001</v>
      </c>
      <c r="M108" s="7">
        <f t="shared" si="261"/>
        <v>3470753.3377700001</v>
      </c>
      <c r="N108" s="7">
        <f t="shared" ref="N108:O108" si="262">SUM(N109:N116)</f>
        <v>3393292.3075600001</v>
      </c>
      <c r="O108" s="7">
        <f t="shared" si="262"/>
        <v>4040652.61479</v>
      </c>
      <c r="P108" s="7">
        <f t="shared" ref="P108:Q108" si="263">SUM(P109:P116)</f>
        <v>3378626.6541800001</v>
      </c>
      <c r="Q108" s="7">
        <f t="shared" si="263"/>
        <v>3303470.2472699997</v>
      </c>
      <c r="R108" s="7">
        <f t="shared" ref="R108:S108" si="264">SUM(R109:R116)</f>
        <v>3464926.0240099998</v>
      </c>
      <c r="S108" s="7">
        <f t="shared" si="264"/>
        <v>3436873.6182599999</v>
      </c>
      <c r="T108" s="7">
        <f t="shared" ref="T108:U108" si="265">SUM(T109:T116)</f>
        <v>3761274.4337600004</v>
      </c>
      <c r="U108" s="7">
        <f t="shared" si="265"/>
        <v>5042161.4006700004</v>
      </c>
      <c r="V108" s="7">
        <f t="shared" ref="V108:W108" si="266">SUM(V109:V116)</f>
        <v>4193259.7238400001</v>
      </c>
      <c r="W108" s="7">
        <f t="shared" si="266"/>
        <v>4432018.7038900005</v>
      </c>
      <c r="X108" s="7">
        <f t="shared" ref="X108:Y108" si="267">SUM(X109:X116)</f>
        <v>4829814.0015999991</v>
      </c>
      <c r="Y108" s="7">
        <f t="shared" si="267"/>
        <v>4199932.3293300001</v>
      </c>
      <c r="Z108" s="7">
        <f t="shared" ref="Z108:AA108" si="268">SUM(Z109:Z116)</f>
        <v>5026864.9138700003</v>
      </c>
      <c r="AA108" s="7">
        <f t="shared" si="268"/>
        <v>4627699.5707200002</v>
      </c>
    </row>
    <row r="109" spans="1:27" s="10" customFormat="1" ht="15" customHeight="1" x14ac:dyDescent="0.15">
      <c r="A109" s="45"/>
      <c r="B109" s="10" t="s">
        <v>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</row>
    <row r="110" spans="1:27" s="10" customFormat="1" ht="15" customHeight="1" x14ac:dyDescent="0.15">
      <c r="A110" s="45"/>
      <c r="B110" s="10" t="s">
        <v>5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</row>
    <row r="111" spans="1:27" s="10" customFormat="1" ht="15" customHeight="1" x14ac:dyDescent="0.15">
      <c r="A111" s="45"/>
      <c r="B111" s="10" t="s">
        <v>18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46">
        <v>15135</v>
      </c>
      <c r="Q111" s="46">
        <v>15276.118</v>
      </c>
      <c r="R111" s="46">
        <v>3906.6039999999998</v>
      </c>
      <c r="S111" s="46">
        <v>3342.4520000000002</v>
      </c>
      <c r="T111" s="46">
        <v>3028.0830000000001</v>
      </c>
      <c r="U111" s="46">
        <v>423.37200000000001</v>
      </c>
      <c r="V111" s="46">
        <v>416.62799999999999</v>
      </c>
      <c r="W111" s="46">
        <v>0.34899999999999998</v>
      </c>
      <c r="X111" s="46">
        <v>7.6999999999999999E-2</v>
      </c>
      <c r="Y111" s="46">
        <v>289.38299999999998</v>
      </c>
      <c r="Z111" s="46">
        <v>189.51300000000001</v>
      </c>
      <c r="AA111" s="46">
        <v>287.71100000000001</v>
      </c>
    </row>
    <row r="112" spans="1:27" s="10" customFormat="1" ht="15" customHeight="1" x14ac:dyDescent="0.15">
      <c r="A112" s="45"/>
      <c r="B112" s="10" t="s">
        <v>15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</row>
    <row r="113" spans="1:27" s="10" customFormat="1" ht="15" customHeight="1" x14ac:dyDescent="0.15">
      <c r="A113" s="45"/>
      <c r="B113" s="10" t="s">
        <v>32</v>
      </c>
      <c r="C113" s="2">
        <v>0</v>
      </c>
      <c r="D113" s="2">
        <v>0</v>
      </c>
      <c r="E113" s="2">
        <f>0+0</f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</row>
    <row r="114" spans="1:27" s="10" customFormat="1" ht="15" customHeight="1" x14ac:dyDescent="0.15">
      <c r="A114" s="45"/>
      <c r="B114" s="10" t="s">
        <v>51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</row>
    <row r="115" spans="1:27" s="10" customFormat="1" ht="15" customHeight="1" x14ac:dyDescent="0.15">
      <c r="A115" s="45"/>
      <c r="B115" s="11" t="s">
        <v>71</v>
      </c>
      <c r="C115" s="46">
        <v>3118181</v>
      </c>
      <c r="D115" s="46">
        <v>2532455</v>
      </c>
      <c r="E115" s="46">
        <v>2552389</v>
      </c>
      <c r="F115" s="46">
        <v>3568417.5759999999</v>
      </c>
      <c r="G115" s="46">
        <v>2988487.8664699998</v>
      </c>
      <c r="H115" s="46">
        <v>4093877.7136300001</v>
      </c>
      <c r="I115" s="46">
        <v>4301864.6734999996</v>
      </c>
      <c r="J115" s="46">
        <v>4248409.8841500003</v>
      </c>
      <c r="K115" s="46">
        <v>4593905.2463499997</v>
      </c>
      <c r="L115" s="46">
        <v>3852241.8300700001</v>
      </c>
      <c r="M115" s="46">
        <v>3470753.3377700001</v>
      </c>
      <c r="N115" s="46">
        <v>3393292.3075600001</v>
      </c>
      <c r="O115" s="46">
        <v>4040652.61479</v>
      </c>
      <c r="P115" s="46">
        <v>3363464.6541800001</v>
      </c>
      <c r="Q115" s="46">
        <v>3288184.17827</v>
      </c>
      <c r="R115" s="46">
        <v>3461009.35201</v>
      </c>
      <c r="S115" s="46">
        <v>3433329.6942599998</v>
      </c>
      <c r="T115" s="46">
        <v>3758236.3127600001</v>
      </c>
      <c r="U115" s="46">
        <v>5041737.8836700004</v>
      </c>
      <c r="V115" s="46">
        <v>4192842.9738400001</v>
      </c>
      <c r="W115" s="46">
        <v>4432018.2328899996</v>
      </c>
      <c r="X115" s="46">
        <v>4829813.9245999996</v>
      </c>
      <c r="Y115" s="46">
        <v>4199642.52733</v>
      </c>
      <c r="Z115" s="46">
        <v>5026674.9818700003</v>
      </c>
      <c r="AA115" s="46">
        <v>4627411.4407200003</v>
      </c>
    </row>
    <row r="116" spans="1:27" s="10" customFormat="1" ht="15" customHeight="1" x14ac:dyDescent="0.15">
      <c r="A116" s="45"/>
      <c r="B116" s="10" t="s">
        <v>89</v>
      </c>
      <c r="C116" s="46">
        <v>0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27</v>
      </c>
      <c r="Q116" s="46">
        <v>9.9510000000000005</v>
      </c>
      <c r="R116" s="46">
        <v>10.068</v>
      </c>
      <c r="S116" s="46">
        <v>201.47200000000001</v>
      </c>
      <c r="T116" s="46">
        <v>10.038</v>
      </c>
      <c r="U116" s="46">
        <v>0.14499999999999999</v>
      </c>
      <c r="V116" s="46">
        <v>0.122</v>
      </c>
      <c r="W116" s="46">
        <v>0.122</v>
      </c>
      <c r="X116" s="2">
        <v>0</v>
      </c>
      <c r="Y116" s="46">
        <v>0.41899999999999998</v>
      </c>
      <c r="Z116" s="46">
        <v>0.41899999999999998</v>
      </c>
      <c r="AA116" s="46">
        <v>0.41899999999999998</v>
      </c>
    </row>
    <row r="117" spans="1:27" ht="12" customHeight="1" x14ac:dyDescent="0.2">
      <c r="A117" s="4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s="2" customFormat="1" ht="15" customHeight="1" x14ac:dyDescent="0.15">
      <c r="A118" s="27">
        <v>10</v>
      </c>
      <c r="B118" s="44" t="s">
        <v>12</v>
      </c>
      <c r="C118" s="7">
        <f t="shared" ref="C118" si="269">SUM(C119:C126)</f>
        <v>109996</v>
      </c>
      <c r="D118" s="7">
        <f t="shared" ref="D118" si="270">SUM(D119:D126)</f>
        <v>20643</v>
      </c>
      <c r="E118" s="7">
        <f t="shared" ref="E118:G118" si="271">SUM(E119:E126)</f>
        <v>4564</v>
      </c>
      <c r="F118" s="7">
        <f t="shared" si="271"/>
        <v>4563.7569999999996</v>
      </c>
      <c r="G118" s="7">
        <f t="shared" si="271"/>
        <v>0</v>
      </c>
      <c r="H118" s="7">
        <f t="shared" ref="H118:I118" si="272">SUM(H119:H126)</f>
        <v>0</v>
      </c>
      <c r="I118" s="7">
        <f t="shared" si="272"/>
        <v>0</v>
      </c>
      <c r="J118" s="7">
        <f t="shared" ref="J118:K118" si="273">SUM(J119:J126)</f>
        <v>0</v>
      </c>
      <c r="K118" s="7">
        <f t="shared" si="273"/>
        <v>0</v>
      </c>
      <c r="L118" s="7">
        <f t="shared" ref="L118:M118" si="274">SUM(L119:L126)</f>
        <v>0</v>
      </c>
      <c r="M118" s="7">
        <f t="shared" si="274"/>
        <v>0</v>
      </c>
      <c r="N118" s="7">
        <f t="shared" ref="N118:O118" si="275">SUM(N119:N126)</f>
        <v>0</v>
      </c>
      <c r="O118" s="7">
        <f t="shared" si="275"/>
        <v>0</v>
      </c>
      <c r="P118" s="7">
        <f t="shared" ref="P118:Q118" si="276">SUM(P119:P126)</f>
        <v>2606.98812</v>
      </c>
      <c r="Q118" s="7">
        <f t="shared" si="276"/>
        <v>504460.80164000002</v>
      </c>
      <c r="R118" s="7">
        <f t="shared" ref="R118:S118" si="277">SUM(R119:R126)</f>
        <v>6016.5998300000001</v>
      </c>
      <c r="S118" s="7">
        <f t="shared" si="277"/>
        <v>42707.511599999998</v>
      </c>
      <c r="T118" s="7">
        <f t="shared" ref="T118:U118" si="278">SUM(T119:T126)</f>
        <v>30758.357319999999</v>
      </c>
      <c r="U118" s="7">
        <f t="shared" si="278"/>
        <v>29090.055</v>
      </c>
      <c r="V118" s="7">
        <f t="shared" ref="V118:W118" si="279">SUM(V119:V126)</f>
        <v>20959.222999999998</v>
      </c>
      <c r="W118" s="7">
        <f t="shared" si="279"/>
        <v>27123.187999999998</v>
      </c>
      <c r="X118" s="7">
        <f t="shared" ref="X118:Y118" si="280">SUM(X119:X126)</f>
        <v>24854.280999999999</v>
      </c>
      <c r="Y118" s="7">
        <f t="shared" si="280"/>
        <v>30161.77</v>
      </c>
      <c r="Z118" s="7">
        <f t="shared" ref="Z118:AA118" si="281">SUM(Z119:Z126)</f>
        <v>29568.886999999999</v>
      </c>
      <c r="AA118" s="7">
        <f t="shared" si="281"/>
        <v>29593.435999999998</v>
      </c>
    </row>
    <row r="119" spans="1:27" s="10" customFormat="1" ht="15" customHeight="1" x14ac:dyDescent="0.15">
      <c r="A119" s="45"/>
      <c r="B119" s="10" t="s">
        <v>4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</row>
    <row r="120" spans="1:27" s="10" customFormat="1" ht="15" customHeight="1" x14ac:dyDescent="0.15">
      <c r="A120" s="45"/>
      <c r="B120" s="10" t="s">
        <v>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</row>
    <row r="121" spans="1:27" s="10" customFormat="1" ht="15" customHeight="1" x14ac:dyDescent="0.15">
      <c r="A121" s="45"/>
      <c r="B121" s="10" t="s">
        <v>18</v>
      </c>
      <c r="C121" s="46">
        <v>0</v>
      </c>
      <c r="D121" s="46">
        <v>0</v>
      </c>
      <c r="E121" s="46">
        <v>0</v>
      </c>
      <c r="F121" s="46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46">
        <v>2050</v>
      </c>
      <c r="Q121" s="46">
        <v>2662.8780000000002</v>
      </c>
      <c r="R121" s="46">
        <v>2743.8820000000001</v>
      </c>
      <c r="S121" s="46">
        <v>2190.16</v>
      </c>
      <c r="T121" s="46">
        <v>53.628999999999998</v>
      </c>
      <c r="U121" s="46">
        <v>2554.201</v>
      </c>
      <c r="V121" s="46">
        <v>2554.2080000000001</v>
      </c>
      <c r="W121" s="46">
        <v>86.442999999999998</v>
      </c>
      <c r="X121" s="2">
        <v>0</v>
      </c>
      <c r="Y121" s="46">
        <v>5310.52</v>
      </c>
      <c r="Z121" s="46">
        <v>5313.5190000000002</v>
      </c>
      <c r="AA121" s="46">
        <v>5438.4049999999997</v>
      </c>
    </row>
    <row r="122" spans="1:27" s="10" customFormat="1" ht="15" customHeight="1" x14ac:dyDescent="0.15">
      <c r="A122" s="45"/>
      <c r="B122" s="10" t="s">
        <v>15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</row>
    <row r="123" spans="1:27" s="10" customFormat="1" ht="15" customHeight="1" x14ac:dyDescent="0.15">
      <c r="A123" s="45"/>
      <c r="B123" s="10" t="s">
        <v>53</v>
      </c>
      <c r="C123" s="2">
        <v>0</v>
      </c>
      <c r="D123" s="2">
        <v>0</v>
      </c>
      <c r="E123" s="2">
        <f>0+0</f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</row>
    <row r="124" spans="1:27" s="10" customFormat="1" ht="15" customHeight="1" x14ac:dyDescent="0.15">
      <c r="A124" s="45"/>
      <c r="B124" s="10" t="s">
        <v>52</v>
      </c>
      <c r="C124" s="46">
        <v>0</v>
      </c>
      <c r="D124" s="46">
        <v>0</v>
      </c>
      <c r="E124" s="46">
        <v>0</v>
      </c>
      <c r="F124" s="46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s="10" customFormat="1" ht="15" customHeight="1" x14ac:dyDescent="0.15">
      <c r="A125" s="45"/>
      <c r="B125" s="11" t="s">
        <v>71</v>
      </c>
      <c r="C125" s="46">
        <v>109996</v>
      </c>
      <c r="D125" s="46">
        <v>20643</v>
      </c>
      <c r="E125" s="46">
        <v>4564</v>
      </c>
      <c r="F125" s="46">
        <v>4563.7569999999996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46">
        <v>551.98811999999998</v>
      </c>
      <c r="Q125" s="46">
        <v>501067.48141000001</v>
      </c>
      <c r="R125" s="46">
        <v>3267.71783</v>
      </c>
      <c r="S125" s="46">
        <v>40422.351600000002</v>
      </c>
      <c r="T125" s="46">
        <v>30699.713319999999</v>
      </c>
      <c r="U125" s="46">
        <v>26530.839</v>
      </c>
      <c r="V125" s="46">
        <v>18400</v>
      </c>
      <c r="W125" s="46">
        <v>27036.744999999999</v>
      </c>
      <c r="X125" s="46">
        <v>24854.280999999999</v>
      </c>
      <c r="Y125" s="46">
        <v>24846.219000000001</v>
      </c>
      <c r="Z125" s="46">
        <v>24250.337</v>
      </c>
      <c r="AA125" s="46">
        <v>24150</v>
      </c>
    </row>
    <row r="126" spans="1:27" s="10" customFormat="1" ht="15" customHeight="1" x14ac:dyDescent="0.15">
      <c r="A126" s="45"/>
      <c r="B126" s="10" t="s">
        <v>89</v>
      </c>
      <c r="C126" s="46">
        <v>0</v>
      </c>
      <c r="D126" s="46">
        <v>0</v>
      </c>
      <c r="E126" s="46">
        <v>0</v>
      </c>
      <c r="F126" s="46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46">
        <v>5</v>
      </c>
      <c r="Q126" s="46">
        <v>730.44223</v>
      </c>
      <c r="R126" s="46">
        <v>5</v>
      </c>
      <c r="S126" s="46">
        <v>95</v>
      </c>
      <c r="T126" s="46">
        <v>5.0149999999999997</v>
      </c>
      <c r="U126" s="46">
        <v>5.0149999999999997</v>
      </c>
      <c r="V126" s="46">
        <v>5.0149999999999997</v>
      </c>
      <c r="W126" s="46">
        <v>0</v>
      </c>
      <c r="X126" s="46">
        <v>0</v>
      </c>
      <c r="Y126" s="46">
        <v>5.0309999999999997</v>
      </c>
      <c r="Z126" s="46">
        <v>5.0309999999999997</v>
      </c>
      <c r="AA126" s="46">
        <v>5.0309999999999997</v>
      </c>
    </row>
    <row r="127" spans="1:27" ht="12" customHeight="1" x14ac:dyDescent="0.2">
      <c r="A127" s="4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s="2" customFormat="1" ht="15" customHeight="1" x14ac:dyDescent="0.15">
      <c r="A128" s="27">
        <v>11</v>
      </c>
      <c r="B128" s="44" t="s">
        <v>36</v>
      </c>
      <c r="C128" s="7">
        <f t="shared" ref="C128" si="282">SUM(C129:C133)</f>
        <v>577346</v>
      </c>
      <c r="D128" s="7">
        <f t="shared" ref="D128" si="283">SUM(D129:D133)</f>
        <v>534105</v>
      </c>
      <c r="E128" s="7">
        <f t="shared" ref="E128:G128" si="284">SUM(E129:E133)</f>
        <v>403315</v>
      </c>
      <c r="F128" s="7">
        <f t="shared" si="284"/>
        <v>616410.26699999999</v>
      </c>
      <c r="G128" s="7">
        <f t="shared" si="284"/>
        <v>670624.48914999992</v>
      </c>
      <c r="H128" s="7">
        <f t="shared" ref="H128:I128" si="285">SUM(H129:H133)</f>
        <v>532301.49635999999</v>
      </c>
      <c r="I128" s="7">
        <f t="shared" si="285"/>
        <v>740210.24819000007</v>
      </c>
      <c r="J128" s="7">
        <f t="shared" ref="J128:K128" si="286">SUM(J129:J133)</f>
        <v>788474.42481999996</v>
      </c>
      <c r="K128" s="7">
        <f t="shared" si="286"/>
        <v>1481493.6351999999</v>
      </c>
      <c r="L128" s="7">
        <f t="shared" ref="L128:M128" si="287">SUM(L129:L133)</f>
        <v>846099.06397000002</v>
      </c>
      <c r="M128" s="7">
        <f t="shared" si="287"/>
        <v>747095.44402000005</v>
      </c>
      <c r="N128" s="7">
        <f t="shared" ref="N128:O128" si="288">SUM(N129:N133)</f>
        <v>721955.16813999997</v>
      </c>
      <c r="O128" s="7">
        <f t="shared" si="288"/>
        <v>968493.98479999998</v>
      </c>
      <c r="P128" s="7">
        <f t="shared" ref="P128:Q128" si="289">SUM(P129:P133)</f>
        <v>977263.37902999995</v>
      </c>
      <c r="Q128" s="7">
        <f t="shared" si="289"/>
        <v>2313613.0702799996</v>
      </c>
      <c r="R128" s="7">
        <f t="shared" ref="R128:S128" si="290">SUM(R129:R133)</f>
        <v>1316521.1024499999</v>
      </c>
      <c r="S128" s="7">
        <f t="shared" si="290"/>
        <v>1319443.3539700001</v>
      </c>
      <c r="T128" s="7">
        <f t="shared" ref="T128:U128" si="291">SUM(T129:T133)</f>
        <v>983174.88179000001</v>
      </c>
      <c r="U128" s="7">
        <f t="shared" si="291"/>
        <v>1122631.7823399999</v>
      </c>
      <c r="V128" s="7">
        <f t="shared" ref="V128:W128" si="292">SUM(V129:V133)</f>
        <v>1176733.54767</v>
      </c>
      <c r="W128" s="7">
        <f t="shared" si="292"/>
        <v>1157050.7720300001</v>
      </c>
      <c r="X128" s="7">
        <f t="shared" ref="X128:Y128" si="293">SUM(X129:X133)</f>
        <v>1294321.94</v>
      </c>
      <c r="Y128" s="7">
        <f t="shared" si="293"/>
        <v>2003239.5529300002</v>
      </c>
      <c r="Z128" s="7">
        <f t="shared" ref="Z128:AA128" si="294">SUM(Z129:Z133)</f>
        <v>1213077.4131599998</v>
      </c>
      <c r="AA128" s="7">
        <f t="shared" si="294"/>
        <v>1055824.06039</v>
      </c>
    </row>
    <row r="129" spans="1:27" s="10" customFormat="1" ht="15" customHeight="1" x14ac:dyDescent="0.15">
      <c r="A129" s="45"/>
      <c r="B129" s="11" t="s">
        <v>20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21984</v>
      </c>
      <c r="Q129" s="46">
        <v>27267.883000000002</v>
      </c>
      <c r="R129" s="46">
        <v>29606.401999999998</v>
      </c>
      <c r="S129" s="46">
        <v>29676.213</v>
      </c>
      <c r="T129" s="46">
        <v>9598.3359999999993</v>
      </c>
      <c r="U129" s="46">
        <v>5440.076</v>
      </c>
      <c r="V129" s="46">
        <v>3820.402</v>
      </c>
      <c r="W129" s="46">
        <v>774.62400000000002</v>
      </c>
      <c r="X129" s="46">
        <v>10372.258</v>
      </c>
      <c r="Y129" s="46">
        <v>8370.4069999999992</v>
      </c>
      <c r="Z129" s="46">
        <v>2619.1860000000001</v>
      </c>
      <c r="AA129" s="46">
        <v>3913.3429999999998</v>
      </c>
    </row>
    <row r="130" spans="1:27" s="10" customFormat="1" ht="15" customHeight="1" x14ac:dyDescent="0.15">
      <c r="A130" s="48"/>
      <c r="B130" s="21" t="s">
        <v>42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98.984160000000003</v>
      </c>
      <c r="I130" s="46">
        <v>84.965909999999994</v>
      </c>
      <c r="J130" s="46">
        <v>2299.8976200000002</v>
      </c>
      <c r="K130" s="46">
        <v>219.88038</v>
      </c>
      <c r="L130" s="46">
        <v>184.19507999999999</v>
      </c>
      <c r="M130" s="46">
        <v>26.696370000000002</v>
      </c>
      <c r="N130" s="46">
        <v>2367.5286599999999</v>
      </c>
      <c r="O130" s="46">
        <v>87.72</v>
      </c>
      <c r="P130" s="46">
        <v>2690.8395700000001</v>
      </c>
      <c r="Q130" s="46">
        <v>2655.5251800000001</v>
      </c>
      <c r="R130" s="46">
        <v>4436.06286</v>
      </c>
      <c r="S130" s="46">
        <v>2804.1866100000002</v>
      </c>
      <c r="T130" s="46">
        <v>2751.4298899999999</v>
      </c>
      <c r="U130" s="46">
        <v>2797.99334</v>
      </c>
      <c r="V130" s="46">
        <v>3390.6829699999998</v>
      </c>
      <c r="W130" s="46">
        <v>193.25631999999999</v>
      </c>
      <c r="X130" s="46">
        <v>1587.8</v>
      </c>
      <c r="Y130" s="46">
        <v>1561.4780000000001</v>
      </c>
      <c r="Z130" s="46">
        <v>3890.0809100000001</v>
      </c>
      <c r="AA130" s="46">
        <v>1620.7135800000001</v>
      </c>
    </row>
    <row r="131" spans="1:27" s="10" customFormat="1" ht="15" customHeight="1" x14ac:dyDescent="0.15">
      <c r="A131" s="48"/>
      <c r="B131" s="11" t="s">
        <v>71</v>
      </c>
      <c r="C131" s="46">
        <v>577346</v>
      </c>
      <c r="D131" s="46">
        <v>534105</v>
      </c>
      <c r="E131" s="46">
        <v>403152</v>
      </c>
      <c r="F131" s="46">
        <v>614813.76500000001</v>
      </c>
      <c r="G131" s="46">
        <v>670482.75257999997</v>
      </c>
      <c r="H131" s="46">
        <v>532202.5122</v>
      </c>
      <c r="I131" s="46">
        <v>740125.28228000004</v>
      </c>
      <c r="J131" s="46">
        <v>786174.52720000001</v>
      </c>
      <c r="K131" s="46">
        <v>1479687.67282</v>
      </c>
      <c r="L131" s="46">
        <v>842586.32191000006</v>
      </c>
      <c r="M131" s="46">
        <v>744420.72256000002</v>
      </c>
      <c r="N131" s="46">
        <v>715774.52775000001</v>
      </c>
      <c r="O131" s="46">
        <v>963791.48548999999</v>
      </c>
      <c r="P131" s="46">
        <v>814522.00847999996</v>
      </c>
      <c r="Q131" s="46">
        <v>2142888.9083799999</v>
      </c>
      <c r="R131" s="46">
        <v>1151745.60644</v>
      </c>
      <c r="S131" s="46">
        <v>1155827.28896</v>
      </c>
      <c r="T131" s="46">
        <v>852650.68776</v>
      </c>
      <c r="U131" s="46">
        <v>1002277.96951</v>
      </c>
      <c r="V131" s="46">
        <v>1062722.85577</v>
      </c>
      <c r="W131" s="46">
        <v>1039488.73571</v>
      </c>
      <c r="X131" s="46">
        <v>1182808.2009999999</v>
      </c>
      <c r="Y131" s="46">
        <v>1899484.2280300001</v>
      </c>
      <c r="Z131" s="46">
        <v>1111903.6207099999</v>
      </c>
      <c r="AA131" s="46">
        <v>966807.81860999996</v>
      </c>
    </row>
    <row r="132" spans="1:27" ht="15" customHeight="1" x14ac:dyDescent="0.2">
      <c r="A132" s="47"/>
      <c r="B132" s="21" t="s">
        <v>75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90655</v>
      </c>
      <c r="Q132" s="46">
        <v>100763.33538999999</v>
      </c>
      <c r="R132" s="46">
        <v>90964.937000000005</v>
      </c>
      <c r="S132" s="46">
        <v>93742.26</v>
      </c>
      <c r="T132" s="46">
        <v>84307.528999999995</v>
      </c>
      <c r="U132" s="46">
        <v>82125.513000000006</v>
      </c>
      <c r="V132" s="46">
        <v>77772.152000000002</v>
      </c>
      <c r="W132" s="46">
        <v>86784.213000000003</v>
      </c>
      <c r="X132" s="46">
        <v>65128.661999999997</v>
      </c>
      <c r="Y132" s="46">
        <v>62974.032480000002</v>
      </c>
      <c r="Z132" s="46">
        <v>62224.059000000001</v>
      </c>
      <c r="AA132" s="46">
        <v>50251.764000000003</v>
      </c>
    </row>
    <row r="133" spans="1:27" ht="15" customHeight="1" x14ac:dyDescent="0.2">
      <c r="A133" s="47"/>
      <c r="B133" s="21" t="s">
        <v>76</v>
      </c>
      <c r="C133" s="46">
        <v>0</v>
      </c>
      <c r="D133" s="46">
        <v>0</v>
      </c>
      <c r="E133" s="46">
        <v>163</v>
      </c>
      <c r="F133" s="46">
        <v>1596.502</v>
      </c>
      <c r="G133" s="46">
        <v>141.73657</v>
      </c>
      <c r="H133" s="46">
        <v>0</v>
      </c>
      <c r="I133" s="46">
        <v>0</v>
      </c>
      <c r="J133" s="46">
        <v>0</v>
      </c>
      <c r="K133" s="46">
        <v>1586.0820000000001</v>
      </c>
      <c r="L133" s="46">
        <v>3328.5469800000001</v>
      </c>
      <c r="M133" s="46">
        <v>2648.0250900000001</v>
      </c>
      <c r="N133" s="46">
        <v>3813.1117300000001</v>
      </c>
      <c r="O133" s="46">
        <v>4614.7793099999999</v>
      </c>
      <c r="P133" s="46">
        <v>47411.530980000003</v>
      </c>
      <c r="Q133" s="46">
        <v>40037.41833</v>
      </c>
      <c r="R133" s="46">
        <v>39768.094149999997</v>
      </c>
      <c r="S133" s="46">
        <v>37393.405400000003</v>
      </c>
      <c r="T133" s="46">
        <v>33866.899140000001</v>
      </c>
      <c r="U133" s="46">
        <v>29990.230490000002</v>
      </c>
      <c r="V133" s="46">
        <v>29027.45493</v>
      </c>
      <c r="W133" s="46">
        <v>29809.942999999999</v>
      </c>
      <c r="X133" s="46">
        <v>34425.019</v>
      </c>
      <c r="Y133" s="46">
        <v>30849.40742</v>
      </c>
      <c r="Z133" s="46">
        <v>32440.466540000001</v>
      </c>
      <c r="AA133" s="46">
        <v>33230.421199999997</v>
      </c>
    </row>
    <row r="134" spans="1:27" ht="15" customHeight="1" x14ac:dyDescent="0.2">
      <c r="A134" s="47"/>
      <c r="B134" s="21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:27" ht="15.95" customHeight="1" x14ac:dyDescent="0.2">
      <c r="A135" s="27">
        <v>12</v>
      </c>
      <c r="B135" s="6" t="s">
        <v>60</v>
      </c>
      <c r="C135" s="7">
        <v>900000</v>
      </c>
      <c r="D135" s="7">
        <f>0+35252</f>
        <v>35252</v>
      </c>
      <c r="E135" s="7">
        <f>0+0</f>
        <v>0</v>
      </c>
      <c r="F135" s="7">
        <v>0</v>
      </c>
      <c r="G135" s="7">
        <v>890.04376999999999</v>
      </c>
      <c r="H135" s="7">
        <f>0+490.0054</f>
        <v>490.00540000000001</v>
      </c>
      <c r="I135" s="7">
        <v>291663.67838</v>
      </c>
      <c r="J135" s="7">
        <v>0</v>
      </c>
      <c r="K135" s="7">
        <f>4.80438+9669.64537</f>
        <v>9674.4497499999998</v>
      </c>
      <c r="L135" s="7">
        <v>1450.64734</v>
      </c>
      <c r="M135" s="7">
        <v>1071.6916200000001</v>
      </c>
      <c r="N135" s="7">
        <v>119525.6489</v>
      </c>
      <c r="O135" s="7">
        <v>105214.67363</v>
      </c>
      <c r="P135" s="7">
        <v>77856.75851</v>
      </c>
      <c r="Q135" s="7">
        <v>12948.595939999999</v>
      </c>
      <c r="R135" s="7">
        <v>264270.89176000003</v>
      </c>
      <c r="S135" s="7">
        <v>18659.22983</v>
      </c>
      <c r="T135" s="7">
        <v>7823.93271</v>
      </c>
      <c r="U135" s="7">
        <v>150507.80566000001</v>
      </c>
      <c r="V135" s="7">
        <v>52326.896359999999</v>
      </c>
      <c r="W135" s="7">
        <v>46440.979930000001</v>
      </c>
      <c r="X135" s="7">
        <v>201285.21403999999</v>
      </c>
      <c r="Y135" s="7">
        <v>52880.215689999997</v>
      </c>
      <c r="Z135" s="7">
        <v>111949.64494</v>
      </c>
      <c r="AA135" s="7">
        <v>114279.99974</v>
      </c>
    </row>
    <row r="136" spans="1:27" s="2" customFormat="1" ht="15.95" customHeight="1" x14ac:dyDescent="0.15">
      <c r="A136" s="27">
        <v>13</v>
      </c>
      <c r="B136" s="6" t="s">
        <v>8</v>
      </c>
      <c r="C136" s="7">
        <f>66965+188581</f>
        <v>255546</v>
      </c>
      <c r="D136" s="7">
        <f>96553+67190</f>
        <v>163743</v>
      </c>
      <c r="E136" s="7">
        <f>54358+63824</f>
        <v>118182</v>
      </c>
      <c r="F136" s="7">
        <f>112184.927+47454.044</f>
        <v>159638.97099999999</v>
      </c>
      <c r="G136" s="7">
        <f>78202.31147+177256.89812</f>
        <v>255459.20958999998</v>
      </c>
      <c r="H136" s="7">
        <f>63625.36659+122891.44977</f>
        <v>186516.81636</v>
      </c>
      <c r="I136" s="7">
        <f>49223.18192+125014.81567</f>
        <v>174237.99758999998</v>
      </c>
      <c r="J136" s="7">
        <f>86840.08159+41472.42652</f>
        <v>128312.50811</v>
      </c>
      <c r="K136" s="7">
        <f>99158.16244+117685.88471</f>
        <v>216844.04715</v>
      </c>
      <c r="L136" s="7">
        <f>118326.58539+61586.52952</f>
        <v>179913.11491</v>
      </c>
      <c r="M136" s="7">
        <f>54037.72094+374887.05492</f>
        <v>428924.77586000005</v>
      </c>
      <c r="N136" s="7">
        <f>205421.36167+46869.93965</f>
        <v>252291.30132000003</v>
      </c>
      <c r="O136" s="7">
        <f>95693.39217+31445.4117599998</f>
        <v>127138.80392999981</v>
      </c>
      <c r="P136" s="7">
        <f>53080.37162+169222.84174</f>
        <v>222303.21335999999</v>
      </c>
      <c r="Q136" s="7">
        <f>69278.80136+197343.78103</f>
        <v>266622.58239</v>
      </c>
      <c r="R136" s="7">
        <f>215819.31291+73399.18347</f>
        <v>289218.49638000003</v>
      </c>
      <c r="S136" s="7">
        <f>70579.02496+145181.923</f>
        <v>215760.94796000002</v>
      </c>
      <c r="T136" s="7">
        <f>73006.50553+116201.10536</f>
        <v>189207.61089000001</v>
      </c>
      <c r="U136" s="7">
        <f>119824.60726+106698.99704</f>
        <v>226523.60430000001</v>
      </c>
      <c r="V136" s="7">
        <f>84260.93933+267098.5799</f>
        <v>351359.51922999998</v>
      </c>
      <c r="W136" s="7">
        <f>109863.85027+160277.92938</f>
        <v>270141.77964999998</v>
      </c>
      <c r="X136" s="7">
        <f>295293.77382+146958.96317</f>
        <v>442252.73699</v>
      </c>
      <c r="Y136" s="7">
        <f>99861.80475+110958.30857</f>
        <v>210820.11332</v>
      </c>
      <c r="Z136" s="7">
        <v>189266.90942000001</v>
      </c>
      <c r="AA136" s="7">
        <v>416619.24183999997</v>
      </c>
    </row>
    <row r="137" spans="1:27" s="2" customFormat="1" ht="15.95" customHeight="1" x14ac:dyDescent="0.15">
      <c r="A137" s="27">
        <v>14</v>
      </c>
      <c r="B137" s="6" t="s">
        <v>9</v>
      </c>
      <c r="C137" s="7">
        <f t="shared" ref="C137:D137" si="295">C136+C135+C128+C118+C108+C98</f>
        <v>5185828</v>
      </c>
      <c r="D137" s="7">
        <f t="shared" si="295"/>
        <v>3536294</v>
      </c>
      <c r="E137" s="7">
        <f t="shared" ref="E137:F137" si="296">E136+E135+E128+E118+E108+E98</f>
        <v>3332430</v>
      </c>
      <c r="F137" s="7">
        <f t="shared" si="296"/>
        <v>4562096.3079999993</v>
      </c>
      <c r="G137" s="7">
        <f t="shared" ref="G137:L137" si="297">G136+G135+G128+G118+G108+G98</f>
        <v>4131397.4447499998</v>
      </c>
      <c r="H137" s="7">
        <f t="shared" si="297"/>
        <v>5051495.6731700003</v>
      </c>
      <c r="I137" s="7">
        <f t="shared" si="297"/>
        <v>5769004.3787399996</v>
      </c>
      <c r="J137" s="7">
        <f t="shared" si="297"/>
        <v>5467147.85977</v>
      </c>
      <c r="K137" s="7">
        <f t="shared" si="297"/>
        <v>6567942.25887</v>
      </c>
      <c r="L137" s="7">
        <f t="shared" si="297"/>
        <v>5151272.0541000003</v>
      </c>
      <c r="M137" s="7">
        <f t="shared" ref="M137:N137" si="298">M136+M135+M128+M118+M108+M98</f>
        <v>4913708.7534300005</v>
      </c>
      <c r="N137" s="7">
        <f t="shared" si="298"/>
        <v>4706961.7076099999</v>
      </c>
      <c r="O137" s="7">
        <f t="shared" ref="O137:P137" si="299">O136+O135+O128+O118+O108+O98</f>
        <v>5441048.6138400007</v>
      </c>
      <c r="P137" s="7">
        <f t="shared" si="299"/>
        <v>4832650.6501400005</v>
      </c>
      <c r="Q137" s="7">
        <f t="shared" ref="Q137:R137" si="300">Q136+Q135+Q128+Q118+Q108+Q98</f>
        <v>6586309.26774</v>
      </c>
      <c r="R137" s="7">
        <f t="shared" si="300"/>
        <v>5498913.66708</v>
      </c>
      <c r="S137" s="7">
        <f t="shared" ref="S137:T137" si="301">S136+S135+S128+S118+S108+S98</f>
        <v>5212119.4763000002</v>
      </c>
      <c r="T137" s="7">
        <f t="shared" si="301"/>
        <v>5090236.8901200006</v>
      </c>
      <c r="U137" s="7">
        <f t="shared" ref="U137:V137" si="302">U136+U135+U128+U118+U108+U98</f>
        <v>6721976.73049</v>
      </c>
      <c r="V137" s="7">
        <f t="shared" si="302"/>
        <v>5896741.1223200001</v>
      </c>
      <c r="W137" s="7">
        <f t="shared" ref="W137:X137" si="303">W136+W135+W128+W118+W108+W98</f>
        <v>6441858.3567900006</v>
      </c>
      <c r="X137" s="7">
        <f t="shared" si="303"/>
        <v>6938219.087629999</v>
      </c>
      <c r="Y137" s="7">
        <f t="shared" ref="Y137:Z137" si="304">Y136+Y135+Y128+Y118+Y108+Y98</f>
        <v>6608817.5501900008</v>
      </c>
      <c r="Z137" s="7">
        <f t="shared" si="304"/>
        <v>6710429.83146</v>
      </c>
      <c r="AA137" s="7">
        <f t="shared" ref="AA137" si="305">AA136+AA135+AA128+AA118+AA108+AA98</f>
        <v>6374370.0185000002</v>
      </c>
    </row>
    <row r="138" spans="1:27" s="2" customFormat="1" ht="15.95" customHeight="1" x14ac:dyDescent="0.15">
      <c r="A138" s="27">
        <v>15</v>
      </c>
      <c r="B138" s="44" t="s">
        <v>7</v>
      </c>
      <c r="C138" s="7">
        <f>0+378735</f>
        <v>378735</v>
      </c>
      <c r="D138" s="7">
        <f>0+393435</f>
        <v>393435</v>
      </c>
      <c r="E138" s="7">
        <f>0+404891</f>
        <v>404891</v>
      </c>
      <c r="F138" s="7">
        <f>407244.947</f>
        <v>407244.94699999999</v>
      </c>
      <c r="G138" s="7">
        <v>716081.71995000006</v>
      </c>
      <c r="H138" s="7">
        <f>2153.68+723355.7683</f>
        <v>725509.44830000005</v>
      </c>
      <c r="I138" s="7">
        <f>41238.46252+704636.48627</f>
        <v>745874.94879000005</v>
      </c>
      <c r="J138" s="7">
        <f>1998.618+738626.29932</f>
        <v>740624.91732000001</v>
      </c>
      <c r="K138" s="7">
        <f>2264.599+750606.33718</f>
        <v>752870.93618000008</v>
      </c>
      <c r="L138" s="7">
        <f>2307.72891+763472.49257</f>
        <v>765780.22147999995</v>
      </c>
      <c r="M138" s="7">
        <f>2355.31219+785841.49358</f>
        <v>788196.80576999998</v>
      </c>
      <c r="N138" s="7">
        <f>2383.75484+778569.25751</f>
        <v>780953.01234999998</v>
      </c>
      <c r="O138" s="7">
        <f>2247.96+802048.1615</f>
        <v>804296.12150000001</v>
      </c>
      <c r="P138" s="7">
        <f>2211.87988+896497.36341</f>
        <v>898709.24329000001</v>
      </c>
      <c r="Q138" s="7">
        <f>2197.8882+923617.04781</f>
        <v>925814.93601000006</v>
      </c>
      <c r="R138" s="7">
        <f>1840.71674+879617.71127</f>
        <v>881458.42800999992</v>
      </c>
      <c r="S138" s="7">
        <f>1624.13913+906042.49684</f>
        <v>907666.63597000006</v>
      </c>
      <c r="T138" s="7">
        <f>1397.35435+942711.20037</f>
        <v>944108.55472000001</v>
      </c>
      <c r="U138" s="7">
        <f>889.66552+974695.93671</f>
        <v>975585.60223000008</v>
      </c>
      <c r="V138" s="7">
        <f>1158.70859+943222.6647</f>
        <v>944381.37329000002</v>
      </c>
      <c r="W138" s="7">
        <f>1046.22275+966233.42378</f>
        <v>967279.64652999991</v>
      </c>
      <c r="X138" s="7">
        <f>1185.23447+995031.67746</f>
        <v>996216.91193000006</v>
      </c>
      <c r="Y138" s="7">
        <f>1187.31283+1016909.03452</f>
        <v>1018096.3473499999</v>
      </c>
      <c r="Z138" s="7">
        <v>1019859.4000800001</v>
      </c>
      <c r="AA138" s="7">
        <v>1032386.43909</v>
      </c>
    </row>
    <row r="139" spans="1:27" s="2" customFormat="1" ht="15.95" customHeight="1" x14ac:dyDescent="0.15">
      <c r="A139" s="27">
        <v>16</v>
      </c>
      <c r="B139" s="6" t="s">
        <v>14</v>
      </c>
      <c r="C139" s="7">
        <f t="shared" ref="C139" si="306">C137+C138</f>
        <v>5564563</v>
      </c>
      <c r="D139" s="7">
        <f t="shared" ref="D139" si="307">D137+D138</f>
        <v>3929729</v>
      </c>
      <c r="E139" s="7">
        <f t="shared" ref="E139:F139" si="308">E137+E138</f>
        <v>3737321</v>
      </c>
      <c r="F139" s="7">
        <f t="shared" si="308"/>
        <v>4969341.254999999</v>
      </c>
      <c r="G139" s="7">
        <f t="shared" ref="G139:L139" si="309">G137+G138</f>
        <v>4847479.1646999996</v>
      </c>
      <c r="H139" s="7">
        <f t="shared" si="309"/>
        <v>5777005.1214700006</v>
      </c>
      <c r="I139" s="7">
        <f t="shared" si="309"/>
        <v>6514879.3275299994</v>
      </c>
      <c r="J139" s="7">
        <f t="shared" si="309"/>
        <v>6207772.77709</v>
      </c>
      <c r="K139" s="7">
        <f t="shared" si="309"/>
        <v>7320813.1950500002</v>
      </c>
      <c r="L139" s="7">
        <f t="shared" si="309"/>
        <v>5917052.2755800001</v>
      </c>
      <c r="M139" s="7">
        <f t="shared" ref="M139:N139" si="310">M137+M138</f>
        <v>5701905.5592</v>
      </c>
      <c r="N139" s="7">
        <f t="shared" si="310"/>
        <v>5487914.7199600004</v>
      </c>
      <c r="O139" s="7">
        <f t="shared" ref="O139:P139" si="311">O137+O138</f>
        <v>6245344.7353400011</v>
      </c>
      <c r="P139" s="7">
        <f t="shared" si="311"/>
        <v>5731359.8934300002</v>
      </c>
      <c r="Q139" s="7">
        <f t="shared" ref="Q139:R139" si="312">Q137+Q138</f>
        <v>7512124.2037500003</v>
      </c>
      <c r="R139" s="7">
        <f t="shared" si="312"/>
        <v>6380372.09509</v>
      </c>
      <c r="S139" s="7">
        <f t="shared" ref="S139:T139" si="313">S137+S138</f>
        <v>6119786.1122700004</v>
      </c>
      <c r="T139" s="7">
        <f t="shared" si="313"/>
        <v>6034345.4448400009</v>
      </c>
      <c r="U139" s="7">
        <f t="shared" ref="U139:V139" si="314">U137+U138</f>
        <v>7697562.3327200003</v>
      </c>
      <c r="V139" s="7">
        <f t="shared" si="314"/>
        <v>6841122.4956100006</v>
      </c>
      <c r="W139" s="7">
        <f t="shared" ref="W139:X139" si="315">W137+W138</f>
        <v>7409138.0033200001</v>
      </c>
      <c r="X139" s="7">
        <f t="shared" si="315"/>
        <v>7934435.9995599994</v>
      </c>
      <c r="Y139" s="7">
        <f t="shared" ref="Y139:Z139" si="316">Y137+Y138</f>
        <v>7626913.8975400012</v>
      </c>
      <c r="Z139" s="7">
        <f t="shared" si="316"/>
        <v>7730289.2315400001</v>
      </c>
      <c r="AA139" s="7">
        <f t="shared" ref="AA139" si="317">AA137+AA138</f>
        <v>7406756.4575900007</v>
      </c>
    </row>
    <row r="140" spans="1:27" s="10" customFormat="1" ht="12" customHeight="1" x14ac:dyDescent="0.2">
      <c r="B140" s="21" t="s">
        <v>66</v>
      </c>
      <c r="K140" s="1"/>
      <c r="L140" s="1"/>
    </row>
    <row r="141" spans="1:27" s="10" customFormat="1" ht="12" customHeight="1" x14ac:dyDescent="0.2">
      <c r="B141" s="21" t="s">
        <v>119</v>
      </c>
      <c r="K141" s="1"/>
      <c r="L141" s="1"/>
    </row>
    <row r="143" spans="1:27" x14ac:dyDescent="0.2">
      <c r="F143" s="151"/>
    </row>
  </sheetData>
  <sheetProtection algorithmName="SHA-512" hashValue="TYRPaZkKe2lDwWpewgMD26AdAR50NE3xY7tY/mBW3Eb4Z/aVWQhagc1/gpfGmVs8KPO+ux2aUyS/nXLIiQNWuw==" saltValue="5Moce43OGrYgC1p4eY6WDw==" spinCount="100000" sheet="1" objects="1" scenarios="1"/>
  <phoneticPr fontId="37" type="noConversion"/>
  <pageMargins left="0.7" right="0.7" top="0.75" bottom="0.75" header="0.3" footer="0.3"/>
  <pageSetup paperSize="5" scale="65" orientation="landscape" r:id="rId1"/>
  <headerFooter alignWithMargins="0"/>
  <rowBreaks count="1" manualBreakCount="1">
    <brk id="8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574"/>
  <sheetViews>
    <sheetView showGridLines="0" topLeftCell="B1" workbookViewId="0">
      <selection activeCell="E11" sqref="E11:U14"/>
    </sheetView>
  </sheetViews>
  <sheetFormatPr defaultColWidth="9.140625" defaultRowHeight="12.75" x14ac:dyDescent="0.2"/>
  <cols>
    <col min="1" max="1" width="4.28515625" style="53" customWidth="1"/>
    <col min="2" max="2" width="64.5703125" style="1" customWidth="1"/>
    <col min="3" max="3" width="14.7109375" style="136" customWidth="1"/>
    <col min="4" max="4" width="15" style="136" customWidth="1"/>
    <col min="5" max="5" width="15.140625" style="136" customWidth="1"/>
    <col min="6" max="6" width="14.5703125" style="136" customWidth="1"/>
    <col min="7" max="7" width="12.5703125" style="136" customWidth="1"/>
    <col min="8" max="8" width="12.140625" style="136" customWidth="1"/>
    <col min="9" max="19" width="10.7109375" style="1" hidden="1" customWidth="1"/>
    <col min="20" max="20" width="14.7109375" style="2" customWidth="1"/>
    <col min="21" max="21" width="14.7109375" style="53" customWidth="1"/>
    <col min="22" max="22" width="12.42578125" style="2" customWidth="1"/>
    <col min="23" max="26" width="11.42578125" style="53" bestFit="1" customWidth="1"/>
    <col min="27" max="67" width="9.140625" style="53"/>
    <col min="68" max="16384" width="9.140625" style="1"/>
  </cols>
  <sheetData>
    <row r="1" spans="1:26" s="53" customFormat="1" ht="44.1" customHeight="1" x14ac:dyDescent="0.2">
      <c r="C1" s="54"/>
      <c r="D1" s="54"/>
      <c r="E1" s="54"/>
      <c r="F1" s="54"/>
      <c r="G1" s="54"/>
      <c r="H1" s="54"/>
      <c r="T1" s="2"/>
      <c r="V1" s="2"/>
    </row>
    <row r="2" spans="1:26" s="53" customFormat="1" ht="24" customHeight="1" thickBot="1" x14ac:dyDescent="0.25">
      <c r="C2" s="54"/>
      <c r="D2" s="54"/>
      <c r="E2" s="54"/>
      <c r="F2" s="54"/>
      <c r="G2" s="54"/>
      <c r="H2" s="54"/>
      <c r="T2" s="2"/>
      <c r="V2" s="2"/>
    </row>
    <row r="3" spans="1:26" ht="15.95" customHeight="1" thickBot="1" x14ac:dyDescent="0.25">
      <c r="B3" s="152" t="s">
        <v>72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40"/>
      <c r="N3" s="140"/>
      <c r="O3" s="140"/>
      <c r="P3" s="140"/>
      <c r="Q3" s="140"/>
      <c r="R3" s="140"/>
      <c r="S3" s="140"/>
      <c r="T3" s="137"/>
      <c r="U3" s="137"/>
      <c r="V3" s="137"/>
      <c r="W3" s="137"/>
      <c r="X3" s="137"/>
      <c r="Y3" s="137"/>
      <c r="Z3" s="55"/>
    </row>
    <row r="4" spans="1:26" s="53" customFormat="1" ht="9.75" customHeight="1" x14ac:dyDescent="0.2">
      <c r="C4" s="54"/>
      <c r="D4" s="54"/>
      <c r="E4" s="54"/>
      <c r="F4" s="54"/>
      <c r="G4" s="54"/>
      <c r="H4" s="54"/>
      <c r="T4" s="2"/>
      <c r="V4" s="2"/>
      <c r="W4" s="2"/>
      <c r="X4" s="2"/>
      <c r="Y4" s="2"/>
      <c r="Z4" s="2"/>
    </row>
    <row r="5" spans="1:26" ht="18.95" customHeight="1" x14ac:dyDescent="0.2">
      <c r="B5" s="3" t="s">
        <v>22</v>
      </c>
      <c r="C5" s="144">
        <v>2007</v>
      </c>
      <c r="D5" s="144">
        <v>2008</v>
      </c>
      <c r="E5" s="144">
        <v>2009</v>
      </c>
      <c r="F5" s="145">
        <v>2010</v>
      </c>
      <c r="G5" s="145">
        <v>2011</v>
      </c>
      <c r="H5" s="145">
        <v>2012</v>
      </c>
      <c r="I5" s="146" t="s">
        <v>38</v>
      </c>
      <c r="J5" s="146" t="s">
        <v>39</v>
      </c>
      <c r="K5" s="146" t="s">
        <v>59</v>
      </c>
      <c r="L5" s="146">
        <v>2013</v>
      </c>
      <c r="M5" s="146" t="s">
        <v>62</v>
      </c>
      <c r="N5" s="146" t="s">
        <v>63</v>
      </c>
      <c r="O5" s="146" t="s">
        <v>64</v>
      </c>
      <c r="P5" s="146" t="s">
        <v>65</v>
      </c>
      <c r="Q5" s="146" t="s">
        <v>68</v>
      </c>
      <c r="R5" s="146" t="s">
        <v>69</v>
      </c>
      <c r="S5" s="146" t="s">
        <v>70</v>
      </c>
      <c r="T5" s="145">
        <v>2013</v>
      </c>
      <c r="U5" s="145">
        <v>2014</v>
      </c>
      <c r="V5" s="145">
        <v>2015</v>
      </c>
      <c r="W5" s="145">
        <v>2016</v>
      </c>
      <c r="X5" s="145">
        <v>2017</v>
      </c>
      <c r="Y5" s="145">
        <v>2018</v>
      </c>
      <c r="Z5" s="147">
        <v>2019</v>
      </c>
    </row>
    <row r="6" spans="1:26" s="53" customFormat="1" ht="17.25" customHeight="1" x14ac:dyDescent="0.2">
      <c r="A6" s="56">
        <v>1</v>
      </c>
      <c r="B6" s="57" t="s">
        <v>33</v>
      </c>
      <c r="C6" s="58"/>
      <c r="D6" s="58"/>
      <c r="E6" s="58"/>
      <c r="F6" s="59"/>
      <c r="G6" s="59"/>
      <c r="H6" s="59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59"/>
      <c r="V6" s="59"/>
      <c r="W6" s="59"/>
      <c r="X6" s="59"/>
      <c r="Y6" s="59"/>
      <c r="Z6" s="59"/>
    </row>
    <row r="7" spans="1:26" s="52" customFormat="1" ht="15" customHeight="1" x14ac:dyDescent="0.15">
      <c r="A7" s="56"/>
      <c r="B7" s="61" t="s">
        <v>83</v>
      </c>
      <c r="C7" s="62">
        <v>515</v>
      </c>
      <c r="D7" s="62">
        <v>1034</v>
      </c>
      <c r="E7" s="62">
        <v>3526</v>
      </c>
      <c r="F7" s="62">
        <v>197</v>
      </c>
      <c r="G7" s="62">
        <v>168</v>
      </c>
      <c r="H7" s="62">
        <v>167</v>
      </c>
      <c r="I7" s="38">
        <v>168</v>
      </c>
      <c r="J7" s="38">
        <v>179</v>
      </c>
      <c r="K7" s="38">
        <v>172</v>
      </c>
      <c r="L7" s="38">
        <v>174</v>
      </c>
      <c r="M7" s="38">
        <v>179</v>
      </c>
      <c r="N7" s="38">
        <v>181</v>
      </c>
      <c r="O7" s="38">
        <v>174</v>
      </c>
      <c r="P7" s="38">
        <v>191</v>
      </c>
      <c r="Q7" s="38">
        <v>169</v>
      </c>
      <c r="R7" s="38">
        <v>168</v>
      </c>
      <c r="S7" s="38">
        <v>168</v>
      </c>
      <c r="T7" s="7">
        <v>174</v>
      </c>
      <c r="U7" s="7">
        <v>191</v>
      </c>
      <c r="V7" s="7">
        <v>169</v>
      </c>
      <c r="W7" s="7">
        <v>167</v>
      </c>
      <c r="X7" s="7">
        <v>169</v>
      </c>
      <c r="Y7" s="7">
        <v>121</v>
      </c>
      <c r="Z7" s="7">
        <v>116</v>
      </c>
    </row>
    <row r="8" spans="1:26" s="52" customFormat="1" ht="15" customHeight="1" x14ac:dyDescent="0.15">
      <c r="A8" s="56"/>
      <c r="B8" s="8" t="s">
        <v>84</v>
      </c>
      <c r="C8" s="62">
        <v>186678082</v>
      </c>
      <c r="D8" s="62">
        <v>224062976</v>
      </c>
      <c r="E8" s="62">
        <v>231138678</v>
      </c>
      <c r="F8" s="62">
        <v>242746187</v>
      </c>
      <c r="G8" s="62">
        <v>7005378</v>
      </c>
      <c r="H8" s="62">
        <v>6683744</v>
      </c>
      <c r="I8" s="38">
        <v>5756694</v>
      </c>
      <c r="J8" s="38">
        <v>5318821</v>
      </c>
      <c r="K8" s="38">
        <v>5128759</v>
      </c>
      <c r="L8" s="38">
        <v>5117088</v>
      </c>
      <c r="M8" s="38">
        <v>5875014</v>
      </c>
      <c r="N8" s="38">
        <v>5616429</v>
      </c>
      <c r="O8" s="38">
        <f>O9+O14</f>
        <v>4846853</v>
      </c>
      <c r="P8" s="38">
        <f>P9+P14</f>
        <v>5121880</v>
      </c>
      <c r="Q8" s="38">
        <f>Q9+Q14</f>
        <v>5110093</v>
      </c>
      <c r="R8" s="38">
        <v>5853625</v>
      </c>
      <c r="S8" s="38" t="e">
        <f>S9+S14</f>
        <v>#REF!</v>
      </c>
      <c r="T8" s="7">
        <v>5117088</v>
      </c>
      <c r="U8" s="7">
        <f>U9+U14</f>
        <v>5121880</v>
      </c>
      <c r="V8" s="7">
        <v>3596831</v>
      </c>
      <c r="W8" s="7">
        <f t="shared" ref="W8" si="0">W9+W14</f>
        <v>2788708</v>
      </c>
      <c r="X8" s="7">
        <f>X9+X14</f>
        <v>4038883</v>
      </c>
      <c r="Y8" s="7">
        <f t="shared" ref="Y8:Z8" si="1">Y9+Y14</f>
        <v>3365825</v>
      </c>
      <c r="Z8" s="7">
        <f t="shared" si="1"/>
        <v>3176131</v>
      </c>
    </row>
    <row r="9" spans="1:26" s="53" customFormat="1" ht="15" customHeight="1" x14ac:dyDescent="0.2">
      <c r="B9" s="63" t="s">
        <v>34</v>
      </c>
      <c r="C9" s="62">
        <v>19445</v>
      </c>
      <c r="D9" s="62">
        <v>30703</v>
      </c>
      <c r="E9" s="62">
        <v>14030</v>
      </c>
      <c r="F9" s="64">
        <v>17862</v>
      </c>
      <c r="G9" s="64">
        <v>16602</v>
      </c>
      <c r="H9" s="64">
        <f>229257-200000</f>
        <v>29257</v>
      </c>
      <c r="I9" s="65">
        <f>159210-120000</f>
        <v>39210</v>
      </c>
      <c r="J9" s="65">
        <f>226644-200000</f>
        <v>26644</v>
      </c>
      <c r="K9" s="65">
        <f>225963-200000</f>
        <v>25963</v>
      </c>
      <c r="L9" s="65">
        <f>220595-200000</f>
        <v>20595</v>
      </c>
      <c r="M9" s="65">
        <f>227010-200000</f>
        <v>27010</v>
      </c>
      <c r="N9" s="65">
        <f>223894-200000</f>
        <v>23894</v>
      </c>
      <c r="O9" s="65">
        <f>O10</f>
        <v>20167</v>
      </c>
      <c r="P9" s="65">
        <f>P10</f>
        <v>18345</v>
      </c>
      <c r="Q9" s="65">
        <f>Q10</f>
        <v>12058</v>
      </c>
      <c r="R9" s="65">
        <f>R10</f>
        <v>11794</v>
      </c>
      <c r="S9" s="65">
        <f>S10+S11+S12</f>
        <v>10371</v>
      </c>
      <c r="T9" s="7">
        <f>220595-200000</f>
        <v>20595</v>
      </c>
      <c r="U9" s="7">
        <f>U10</f>
        <v>18345</v>
      </c>
      <c r="V9" s="7">
        <f>V10+V11+V12</f>
        <v>51836</v>
      </c>
      <c r="W9" s="7">
        <f t="shared" ref="W9" si="2">W10+W11</f>
        <v>27624</v>
      </c>
      <c r="X9" s="7">
        <f>X10+X11</f>
        <v>55257</v>
      </c>
      <c r="Y9" s="7">
        <f t="shared" ref="Y9:Z9" si="3">Y10+Y11</f>
        <v>115327</v>
      </c>
      <c r="Z9" s="7">
        <f t="shared" si="3"/>
        <v>149729</v>
      </c>
    </row>
    <row r="10" spans="1:26" s="50" customFormat="1" ht="15" customHeight="1" x14ac:dyDescent="0.15">
      <c r="B10" s="25" t="s">
        <v>41</v>
      </c>
      <c r="C10" s="66">
        <v>19445</v>
      </c>
      <c r="D10" s="66">
        <v>30703</v>
      </c>
      <c r="E10" s="66">
        <v>14030</v>
      </c>
      <c r="F10" s="66">
        <v>17862</v>
      </c>
      <c r="G10" s="66">
        <v>16602</v>
      </c>
      <c r="H10" s="66">
        <f>229257-200000</f>
        <v>29257</v>
      </c>
      <c r="I10" s="66">
        <v>159210</v>
      </c>
      <c r="J10" s="66">
        <f>226644-200000</f>
        <v>26644</v>
      </c>
      <c r="K10" s="66">
        <f>225963-200000</f>
        <v>25963</v>
      </c>
      <c r="L10" s="66">
        <f>220595-200000</f>
        <v>20595</v>
      </c>
      <c r="M10" s="66">
        <f>227010-200000</f>
        <v>27010</v>
      </c>
      <c r="N10" s="66">
        <f>223894-200000</f>
        <v>23894</v>
      </c>
      <c r="O10" s="66">
        <v>20167</v>
      </c>
      <c r="P10" s="66">
        <v>18345</v>
      </c>
      <c r="Q10" s="66">
        <v>12058</v>
      </c>
      <c r="R10" s="66">
        <v>11794</v>
      </c>
      <c r="S10" s="66">
        <v>10371</v>
      </c>
      <c r="T10" s="12">
        <f>220595-200000</f>
        <v>20595</v>
      </c>
      <c r="U10" s="12">
        <v>18345</v>
      </c>
      <c r="V10" s="20">
        <v>14592</v>
      </c>
      <c r="W10" s="20">
        <f>18609+415</f>
        <v>19024</v>
      </c>
      <c r="X10" s="20">
        <v>13304</v>
      </c>
      <c r="Y10" s="20">
        <f>45053+0</f>
        <v>45053</v>
      </c>
      <c r="Z10" s="20">
        <v>15754</v>
      </c>
    </row>
    <row r="11" spans="1:26" s="50" customFormat="1" ht="15" customHeight="1" x14ac:dyDescent="0.15">
      <c r="B11" s="25" t="s">
        <v>40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8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2">
        <v>0</v>
      </c>
      <c r="U11" s="2">
        <v>0</v>
      </c>
      <c r="V11" s="20">
        <v>37244</v>
      </c>
      <c r="W11" s="20">
        <v>8600</v>
      </c>
      <c r="X11" s="20">
        <v>41953</v>
      </c>
      <c r="Y11" s="20">
        <f>70274</f>
        <v>70274</v>
      </c>
      <c r="Z11" s="20">
        <v>133975</v>
      </c>
    </row>
    <row r="12" spans="1:26" s="50" customFormat="1" ht="15" customHeight="1" x14ac:dyDescent="0.15">
      <c r="B12" s="25" t="s">
        <v>71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8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2">
        <v>0</v>
      </c>
      <c r="U12" s="2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</row>
    <row r="13" spans="1:26" s="69" customFormat="1" ht="15" customHeight="1" x14ac:dyDescent="0.15">
      <c r="B13" s="70"/>
      <c r="C13" s="71"/>
      <c r="D13" s="71"/>
      <c r="E13" s="71"/>
      <c r="F13" s="72"/>
      <c r="G13" s="72"/>
      <c r="H13" s="73"/>
      <c r="T13" s="13"/>
      <c r="U13" s="13"/>
      <c r="V13" s="13"/>
      <c r="W13" s="13"/>
      <c r="X13" s="13"/>
      <c r="Y13" s="13"/>
      <c r="Z13" s="13"/>
    </row>
    <row r="14" spans="1:26" s="53" customFormat="1" ht="15" customHeight="1" x14ac:dyDescent="0.2">
      <c r="B14" s="63" t="s">
        <v>35</v>
      </c>
      <c r="C14" s="62">
        <v>186658637</v>
      </c>
      <c r="D14" s="62">
        <v>224032273</v>
      </c>
      <c r="E14" s="62">
        <v>231124648</v>
      </c>
      <c r="F14" s="64">
        <v>242728325</v>
      </c>
      <c r="G14" s="64">
        <v>6988776</v>
      </c>
      <c r="H14" s="64">
        <f>H15+H16+H17</f>
        <v>6654487</v>
      </c>
      <c r="I14" s="65">
        <f t="shared" ref="I14:N14" si="4">I15+I16+I17</f>
        <v>5477484</v>
      </c>
      <c r="J14" s="65">
        <f t="shared" si="4"/>
        <v>5292177</v>
      </c>
      <c r="K14" s="65">
        <f t="shared" si="4"/>
        <v>5102796</v>
      </c>
      <c r="L14" s="65">
        <f t="shared" si="4"/>
        <v>5096493</v>
      </c>
      <c r="M14" s="38">
        <f t="shared" si="4"/>
        <v>5848004</v>
      </c>
      <c r="N14" s="38">
        <f t="shared" si="4"/>
        <v>5592535</v>
      </c>
      <c r="O14" s="38">
        <f>O15+O16+O17</f>
        <v>4826686</v>
      </c>
      <c r="P14" s="38">
        <f>P15+P16+P17</f>
        <v>5103535</v>
      </c>
      <c r="Q14" s="38">
        <f>Q15+Q16+Q17</f>
        <v>5098035</v>
      </c>
      <c r="R14" s="38">
        <f>R15+R16+R17</f>
        <v>5841831</v>
      </c>
      <c r="S14" s="38" t="e">
        <f>S15+S16+S17+#REF!</f>
        <v>#REF!</v>
      </c>
      <c r="T14" s="7">
        <f>T15+T16+T17</f>
        <v>5096493</v>
      </c>
      <c r="U14" s="7">
        <f>U15+U16+U17</f>
        <v>5103535</v>
      </c>
      <c r="V14" s="7">
        <f>V15+V16+V17+V19</f>
        <v>3544995</v>
      </c>
      <c r="W14" s="7">
        <f t="shared" ref="W14" si="5">SUM(W15:W19)</f>
        <v>2761084</v>
      </c>
      <c r="X14" s="7">
        <f>SUM(X15:X19)</f>
        <v>3983626</v>
      </c>
      <c r="Y14" s="7">
        <f t="shared" ref="Y14:Z14" si="6">SUM(Y15:Y19)</f>
        <v>3250498</v>
      </c>
      <c r="Z14" s="7">
        <f t="shared" si="6"/>
        <v>3026402</v>
      </c>
    </row>
    <row r="15" spans="1:26" s="50" customFormat="1" ht="15" customHeight="1" x14ac:dyDescent="0.15">
      <c r="B15" s="25" t="s">
        <v>20</v>
      </c>
      <c r="C15" s="66" t="s">
        <v>16</v>
      </c>
      <c r="D15" s="66" t="s">
        <v>16</v>
      </c>
      <c r="E15" s="66">
        <v>230645690</v>
      </c>
      <c r="F15" s="66">
        <v>242364680</v>
      </c>
      <c r="G15" s="66">
        <v>6520967</v>
      </c>
      <c r="H15" s="66">
        <f>6143096+200000</f>
        <v>6343096</v>
      </c>
      <c r="I15" s="66">
        <f>5345936-120000</f>
        <v>5225936</v>
      </c>
      <c r="J15" s="66">
        <f>4783072+200000</f>
        <v>4983072</v>
      </c>
      <c r="K15" s="66">
        <f>4612535+200000</f>
        <v>4812535</v>
      </c>
      <c r="L15" s="66">
        <f>4556332+200000</f>
        <v>4756332</v>
      </c>
      <c r="M15" s="66">
        <f>5359573+200000</f>
        <v>5559573</v>
      </c>
      <c r="N15" s="66">
        <f>5156133+200000</f>
        <v>5356133</v>
      </c>
      <c r="O15" s="66">
        <v>4381308</v>
      </c>
      <c r="P15" s="66">
        <v>4758967</v>
      </c>
      <c r="Q15" s="66">
        <v>4969120</v>
      </c>
      <c r="R15" s="66">
        <v>5734385</v>
      </c>
      <c r="S15" s="66">
        <f>3913017+1000005</f>
        <v>4913022</v>
      </c>
      <c r="T15" s="12">
        <f>4556332+200000</f>
        <v>4756332</v>
      </c>
      <c r="U15" s="12">
        <v>4758967</v>
      </c>
      <c r="V15" s="20">
        <v>3449561</v>
      </c>
      <c r="W15" s="20">
        <v>2738920</v>
      </c>
      <c r="X15" s="20">
        <v>3925461</v>
      </c>
      <c r="Y15" s="20">
        <v>3203067</v>
      </c>
      <c r="Z15" s="20">
        <v>3016691</v>
      </c>
    </row>
    <row r="16" spans="1:26" s="50" customFormat="1" ht="15" customHeight="1" x14ac:dyDescent="0.15">
      <c r="B16" s="25" t="s">
        <v>42</v>
      </c>
      <c r="C16" s="74" t="s">
        <v>16</v>
      </c>
      <c r="D16" s="74" t="s">
        <v>16</v>
      </c>
      <c r="E16" s="74">
        <v>478958</v>
      </c>
      <c r="F16" s="74">
        <v>363645</v>
      </c>
      <c r="G16" s="74">
        <v>467809</v>
      </c>
      <c r="H16" s="74">
        <v>289662</v>
      </c>
      <c r="I16" s="74">
        <v>233357</v>
      </c>
      <c r="J16" s="74">
        <v>309105</v>
      </c>
      <c r="K16" s="74">
        <v>288699</v>
      </c>
      <c r="L16" s="74">
        <v>340161</v>
      </c>
      <c r="M16" s="74">
        <v>287752</v>
      </c>
      <c r="N16" s="74">
        <v>236402</v>
      </c>
      <c r="O16" s="74">
        <v>445378</v>
      </c>
      <c r="P16" s="74">
        <v>344568</v>
      </c>
      <c r="Q16" s="74">
        <v>128915</v>
      </c>
      <c r="R16" s="74">
        <v>107446</v>
      </c>
      <c r="S16" s="74">
        <v>59000</v>
      </c>
      <c r="T16" s="15">
        <v>340161</v>
      </c>
      <c r="U16" s="15">
        <v>344568</v>
      </c>
      <c r="V16" s="20">
        <v>95423</v>
      </c>
      <c r="W16" s="20">
        <v>22164</v>
      </c>
      <c r="X16" s="20">
        <v>58165</v>
      </c>
      <c r="Y16" s="20">
        <v>47395</v>
      </c>
      <c r="Z16" s="20">
        <v>9705</v>
      </c>
    </row>
    <row r="17" spans="1:26" s="50" customFormat="1" ht="15" customHeight="1" x14ac:dyDescent="0.15">
      <c r="B17" s="25" t="s">
        <v>71</v>
      </c>
      <c r="C17" s="74" t="s">
        <v>16</v>
      </c>
      <c r="D17" s="74" t="s">
        <v>16</v>
      </c>
      <c r="E17" s="68">
        <v>0</v>
      </c>
      <c r="F17" s="68">
        <v>0</v>
      </c>
      <c r="G17" s="68">
        <v>0</v>
      </c>
      <c r="H17" s="66">
        <v>21729</v>
      </c>
      <c r="I17" s="75">
        <v>18191</v>
      </c>
      <c r="J17" s="50">
        <v>0</v>
      </c>
      <c r="K17" s="75">
        <v>1562</v>
      </c>
      <c r="L17" s="50">
        <v>0</v>
      </c>
      <c r="M17" s="50">
        <v>679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36</v>
      </c>
      <c r="Z17" s="2">
        <v>6</v>
      </c>
    </row>
    <row r="18" spans="1:26" s="77" customFormat="1" ht="15" customHeight="1" x14ac:dyDescent="0.2">
      <c r="A18" s="76"/>
      <c r="B18" s="76" t="s">
        <v>75</v>
      </c>
      <c r="C18" s="68" t="s">
        <v>16</v>
      </c>
      <c r="D18" s="68" t="s">
        <v>16</v>
      </c>
      <c r="E18" s="68" t="s">
        <v>16</v>
      </c>
      <c r="F18" s="68" t="s">
        <v>16</v>
      </c>
      <c r="G18" s="68">
        <v>0</v>
      </c>
      <c r="H18" s="68">
        <v>0</v>
      </c>
      <c r="I18" s="76" t="s">
        <v>16</v>
      </c>
      <c r="J18" s="76" t="s">
        <v>16</v>
      </c>
      <c r="K18" s="76" t="s">
        <v>16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</row>
    <row r="19" spans="1:26" s="77" customFormat="1" ht="15" customHeight="1" x14ac:dyDescent="0.2">
      <c r="A19" s="76"/>
      <c r="B19" s="76" t="s">
        <v>76</v>
      </c>
      <c r="C19" s="68" t="s">
        <v>16</v>
      </c>
      <c r="D19" s="68" t="s">
        <v>16</v>
      </c>
      <c r="E19" s="68" t="s">
        <v>16</v>
      </c>
      <c r="F19" s="68" t="s">
        <v>16</v>
      </c>
      <c r="G19" s="68">
        <v>0</v>
      </c>
      <c r="H19" s="68">
        <v>0</v>
      </c>
      <c r="I19" s="76" t="s">
        <v>16</v>
      </c>
      <c r="J19" s="76" t="s">
        <v>16</v>
      </c>
      <c r="K19" s="76" t="s">
        <v>16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2">
        <v>0</v>
      </c>
      <c r="U19" s="2">
        <v>0</v>
      </c>
      <c r="V19" s="2">
        <v>11</v>
      </c>
      <c r="W19" s="2">
        <v>0</v>
      </c>
      <c r="X19" s="2">
        <v>0</v>
      </c>
      <c r="Y19" s="2">
        <v>0</v>
      </c>
      <c r="Z19" s="2">
        <v>0</v>
      </c>
    </row>
    <row r="20" spans="1:26" s="53" customFormat="1" ht="15" customHeight="1" x14ac:dyDescent="0.2">
      <c r="B20" s="78"/>
      <c r="C20" s="79"/>
      <c r="D20" s="79"/>
      <c r="E20" s="79"/>
      <c r="F20" s="79"/>
      <c r="G20" s="80"/>
      <c r="H20" s="80"/>
      <c r="I20" s="79"/>
      <c r="J20" s="79"/>
      <c r="K20" s="79"/>
      <c r="L20" s="79"/>
      <c r="M20" s="81"/>
      <c r="N20" s="81"/>
      <c r="O20" s="81"/>
      <c r="P20" s="81"/>
      <c r="Q20" s="81"/>
      <c r="R20" s="81"/>
      <c r="S20" s="81"/>
      <c r="T20" s="82"/>
      <c r="U20" s="13"/>
      <c r="V20" s="13"/>
      <c r="W20" s="13"/>
      <c r="X20" s="13"/>
      <c r="Y20" s="13"/>
      <c r="Z20" s="13"/>
    </row>
    <row r="21" spans="1:26" s="52" customFormat="1" ht="15" customHeight="1" x14ac:dyDescent="0.15">
      <c r="A21" s="56">
        <v>2</v>
      </c>
      <c r="B21" s="61" t="s">
        <v>43</v>
      </c>
      <c r="C21" s="62">
        <v>1398743</v>
      </c>
      <c r="D21" s="62">
        <v>255728</v>
      </c>
      <c r="E21" s="62">
        <v>203907</v>
      </c>
      <c r="F21" s="62">
        <v>160307</v>
      </c>
      <c r="G21" s="62">
        <v>112540</v>
      </c>
      <c r="H21" s="62">
        <v>68110</v>
      </c>
      <c r="I21" s="38">
        <v>150145</v>
      </c>
      <c r="J21" s="38">
        <v>180934</v>
      </c>
      <c r="K21" s="38">
        <v>182646</v>
      </c>
      <c r="L21" s="38">
        <v>199733</v>
      </c>
      <c r="M21" s="38">
        <v>300599</v>
      </c>
      <c r="N21" s="38">
        <v>263474</v>
      </c>
      <c r="O21" s="38">
        <f>O22+O31</f>
        <v>116098</v>
      </c>
      <c r="P21" s="38">
        <f>P22+P31</f>
        <v>181821</v>
      </c>
      <c r="Q21" s="38">
        <f>Q22+Q31</f>
        <v>0</v>
      </c>
      <c r="R21" s="38">
        <v>5814</v>
      </c>
      <c r="S21" s="38">
        <f>S22+S31</f>
        <v>0</v>
      </c>
      <c r="T21" s="7">
        <v>199733</v>
      </c>
      <c r="U21" s="7">
        <f>U22+U31</f>
        <v>222253</v>
      </c>
      <c r="V21" s="7">
        <f t="shared" ref="V21:Z21" si="7">V22+V31</f>
        <v>505738</v>
      </c>
      <c r="W21" s="7">
        <f t="shared" si="7"/>
        <v>1005337</v>
      </c>
      <c r="X21" s="7">
        <f t="shared" si="7"/>
        <v>5050</v>
      </c>
      <c r="Y21" s="7">
        <f t="shared" si="7"/>
        <v>338080</v>
      </c>
      <c r="Z21" s="7">
        <f t="shared" si="7"/>
        <v>254424</v>
      </c>
    </row>
    <row r="22" spans="1:26" s="83" customFormat="1" ht="15" customHeight="1" x14ac:dyDescent="0.2">
      <c r="B22" s="84" t="s">
        <v>34</v>
      </c>
      <c r="C22" s="62">
        <v>0</v>
      </c>
      <c r="D22" s="62">
        <v>0</v>
      </c>
      <c r="E22" s="62">
        <v>0</v>
      </c>
      <c r="F22" s="64">
        <v>0</v>
      </c>
      <c r="G22" s="64">
        <v>0</v>
      </c>
      <c r="H22" s="64">
        <v>1266</v>
      </c>
      <c r="I22" s="64">
        <v>728</v>
      </c>
      <c r="J22" s="64">
        <v>5875</v>
      </c>
      <c r="K22" s="64">
        <v>5858</v>
      </c>
      <c r="L22" s="64">
        <v>13092</v>
      </c>
      <c r="M22" s="64">
        <v>13092</v>
      </c>
      <c r="N22" s="64">
        <v>12682</v>
      </c>
      <c r="O22" s="64">
        <f>SUM(O23:O29)</f>
        <v>13079</v>
      </c>
      <c r="P22" s="64">
        <f>SUM(P23:P29)</f>
        <v>12882</v>
      </c>
      <c r="Q22" s="64">
        <f>SUM(Q23:Q29)</f>
        <v>0</v>
      </c>
      <c r="R22" s="64">
        <v>0</v>
      </c>
      <c r="S22" s="64">
        <v>0</v>
      </c>
      <c r="T22" s="19">
        <v>13092</v>
      </c>
      <c r="U22" s="19">
        <f>SUM(U23:U29)</f>
        <v>12882</v>
      </c>
      <c r="V22" s="19">
        <v>0</v>
      </c>
      <c r="W22" s="19">
        <f t="shared" ref="W22" si="8">SUM(W23:W29)</f>
        <v>0</v>
      </c>
      <c r="X22" s="19">
        <f>SUM(X23:X29)</f>
        <v>0</v>
      </c>
      <c r="Y22" s="19">
        <f t="shared" ref="Y22:Z22" si="9">SUM(Y23:Y29)</f>
        <v>67732</v>
      </c>
      <c r="Z22" s="19">
        <f t="shared" si="9"/>
        <v>49929</v>
      </c>
    </row>
    <row r="23" spans="1:26" s="50" customFormat="1" ht="15" customHeight="1" x14ac:dyDescent="0.15">
      <c r="B23" s="50" t="s">
        <v>4</v>
      </c>
      <c r="C23" s="67">
        <v>0</v>
      </c>
      <c r="D23" s="85">
        <v>0</v>
      </c>
      <c r="E23" s="67">
        <v>0</v>
      </c>
      <c r="F23" s="67">
        <v>0</v>
      </c>
      <c r="G23" s="67">
        <v>0</v>
      </c>
      <c r="H23" s="68">
        <v>593</v>
      </c>
      <c r="I23" s="50">
        <v>594</v>
      </c>
      <c r="J23" s="86">
        <v>5546</v>
      </c>
      <c r="K23" s="86">
        <v>5486</v>
      </c>
      <c r="L23" s="86">
        <v>12883</v>
      </c>
      <c r="M23" s="86">
        <v>12498</v>
      </c>
      <c r="N23" s="86">
        <v>12432</v>
      </c>
      <c r="O23" s="86">
        <v>12504</v>
      </c>
      <c r="P23" s="86">
        <v>12436</v>
      </c>
      <c r="Q23" s="86">
        <v>0</v>
      </c>
      <c r="R23" s="86">
        <v>0</v>
      </c>
      <c r="S23" s="86">
        <v>0</v>
      </c>
      <c r="T23" s="20">
        <v>12883</v>
      </c>
      <c r="U23" s="20">
        <v>12436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</row>
    <row r="24" spans="1:26" s="50" customFormat="1" ht="15" customHeight="1" x14ac:dyDescent="0.15">
      <c r="B24" s="50" t="s">
        <v>17</v>
      </c>
      <c r="C24" s="67">
        <v>0</v>
      </c>
      <c r="D24" s="85">
        <v>0</v>
      </c>
      <c r="E24" s="67">
        <v>0</v>
      </c>
      <c r="F24" s="67">
        <v>0</v>
      </c>
      <c r="G24" s="67">
        <v>0</v>
      </c>
      <c r="H24" s="68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</row>
    <row r="25" spans="1:26" s="50" customFormat="1" ht="15" customHeight="1" x14ac:dyDescent="0.15">
      <c r="B25" s="50" t="s">
        <v>18</v>
      </c>
      <c r="C25" s="68">
        <v>0</v>
      </c>
      <c r="D25" s="85">
        <v>0</v>
      </c>
      <c r="E25" s="67">
        <v>0</v>
      </c>
      <c r="F25" s="67">
        <v>0</v>
      </c>
      <c r="G25" s="67">
        <v>0</v>
      </c>
      <c r="H25" s="68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</row>
    <row r="26" spans="1:26" s="50" customFormat="1" ht="15" customHeight="1" x14ac:dyDescent="0.15">
      <c r="B26" s="25" t="s">
        <v>41</v>
      </c>
      <c r="C26" s="68">
        <v>0</v>
      </c>
      <c r="D26" s="85">
        <v>0</v>
      </c>
      <c r="E26" s="67">
        <v>0</v>
      </c>
      <c r="F26" s="67">
        <v>0</v>
      </c>
      <c r="G26" s="67">
        <v>0</v>
      </c>
      <c r="H26" s="68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250</v>
      </c>
      <c r="O26" s="50">
        <v>448</v>
      </c>
      <c r="P26" s="50">
        <v>446</v>
      </c>
      <c r="Q26" s="50">
        <v>0</v>
      </c>
      <c r="R26" s="50">
        <v>0</v>
      </c>
      <c r="S26" s="50">
        <v>0</v>
      </c>
      <c r="T26" s="2">
        <v>0</v>
      </c>
      <c r="U26" s="2">
        <v>446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</row>
    <row r="27" spans="1:26" s="50" customFormat="1" ht="15" customHeight="1" x14ac:dyDescent="0.15">
      <c r="B27" s="25" t="s">
        <v>40</v>
      </c>
      <c r="C27" s="68">
        <v>0</v>
      </c>
      <c r="D27" s="85">
        <v>0</v>
      </c>
      <c r="E27" s="67">
        <v>0</v>
      </c>
      <c r="F27" s="67">
        <v>0</v>
      </c>
      <c r="G27" s="67">
        <v>0</v>
      </c>
      <c r="H27" s="68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</row>
    <row r="28" spans="1:26" s="50" customFormat="1" ht="15" customHeight="1" x14ac:dyDescent="0.15">
      <c r="B28" s="25" t="s">
        <v>85</v>
      </c>
      <c r="C28" s="68">
        <v>0</v>
      </c>
      <c r="D28" s="67">
        <v>0</v>
      </c>
      <c r="E28" s="67">
        <v>0</v>
      </c>
      <c r="F28" s="67">
        <v>0</v>
      </c>
      <c r="G28" s="67">
        <v>0</v>
      </c>
      <c r="H28" s="68">
        <v>673</v>
      </c>
      <c r="I28" s="50">
        <v>134</v>
      </c>
      <c r="J28" s="50">
        <v>329</v>
      </c>
      <c r="K28" s="50">
        <v>372</v>
      </c>
      <c r="L28" s="50">
        <v>209</v>
      </c>
      <c r="M28" s="50">
        <f>249+381</f>
        <v>630</v>
      </c>
      <c r="N28" s="50">
        <v>0</v>
      </c>
      <c r="O28" s="50">
        <v>127</v>
      </c>
      <c r="P28" s="50">
        <v>0</v>
      </c>
      <c r="Q28" s="50">
        <v>0</v>
      </c>
      <c r="R28" s="50">
        <v>0</v>
      </c>
      <c r="S28" s="50">
        <v>0</v>
      </c>
      <c r="T28" s="2">
        <v>209</v>
      </c>
      <c r="U28" s="2">
        <v>0</v>
      </c>
      <c r="V28" s="2">
        <v>0</v>
      </c>
      <c r="W28" s="2">
        <v>0</v>
      </c>
      <c r="X28" s="2">
        <v>0</v>
      </c>
      <c r="Y28" s="2">
        <v>67732</v>
      </c>
      <c r="Z28" s="2">
        <v>49929</v>
      </c>
    </row>
    <row r="29" spans="1:26" s="50" customFormat="1" ht="15" customHeight="1" x14ac:dyDescent="0.15">
      <c r="B29" s="11" t="s">
        <v>86</v>
      </c>
      <c r="C29" s="68">
        <v>0</v>
      </c>
      <c r="D29" s="67">
        <v>0</v>
      </c>
      <c r="E29" s="67">
        <v>0</v>
      </c>
      <c r="F29" s="67">
        <v>0</v>
      </c>
      <c r="G29" s="67">
        <v>0</v>
      </c>
      <c r="H29" s="68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</row>
    <row r="30" spans="1:26" s="50" customFormat="1" ht="15" customHeight="1" x14ac:dyDescent="0.15">
      <c r="B30" s="87"/>
      <c r="C30" s="68"/>
      <c r="D30" s="67"/>
      <c r="E30" s="67"/>
      <c r="F30" s="67"/>
      <c r="G30" s="67"/>
      <c r="H30" s="68"/>
      <c r="T30" s="13"/>
      <c r="U30" s="13"/>
      <c r="V30" s="13"/>
      <c r="W30" s="13"/>
      <c r="X30" s="13"/>
      <c r="Y30" s="13"/>
      <c r="Z30" s="13"/>
    </row>
    <row r="31" spans="1:26" s="53" customFormat="1" ht="15" customHeight="1" x14ac:dyDescent="0.2">
      <c r="B31" s="63" t="s">
        <v>35</v>
      </c>
      <c r="C31" s="62">
        <v>1398743</v>
      </c>
      <c r="D31" s="62">
        <v>255728</v>
      </c>
      <c r="E31" s="62">
        <v>203907</v>
      </c>
      <c r="F31" s="64">
        <v>160307</v>
      </c>
      <c r="G31" s="64">
        <v>112540</v>
      </c>
      <c r="H31" s="64">
        <v>66844</v>
      </c>
      <c r="I31" s="65">
        <v>149417</v>
      </c>
      <c r="J31" s="65">
        <v>175059</v>
      </c>
      <c r="K31" s="65">
        <v>176788</v>
      </c>
      <c r="L31" s="65">
        <v>186641</v>
      </c>
      <c r="M31" s="38">
        <v>287471</v>
      </c>
      <c r="N31" s="38">
        <v>250792</v>
      </c>
      <c r="O31" s="38">
        <f>SUM(O32:O34)</f>
        <v>103019</v>
      </c>
      <c r="P31" s="38">
        <f>SUM(P32:P34)</f>
        <v>168939</v>
      </c>
      <c r="Q31" s="38">
        <f>SUM(Q32:Q34)</f>
        <v>0</v>
      </c>
      <c r="R31" s="38">
        <f>SUM(R32:R34)</f>
        <v>0</v>
      </c>
      <c r="S31" s="38">
        <f>SUM(S32:S34)</f>
        <v>0</v>
      </c>
      <c r="T31" s="7">
        <f>SUM(T32:T36)</f>
        <v>186641</v>
      </c>
      <c r="U31" s="7">
        <f>SUM(U32:U36)</f>
        <v>209371</v>
      </c>
      <c r="V31" s="7">
        <f t="shared" ref="V31" si="10">SUM(V32:V36)</f>
        <v>505738</v>
      </c>
      <c r="W31" s="7">
        <f t="shared" ref="W31:X31" si="11">SUM(W32:W36)</f>
        <v>1005337</v>
      </c>
      <c r="X31" s="7">
        <f t="shared" si="11"/>
        <v>5050</v>
      </c>
      <c r="Y31" s="7">
        <f t="shared" ref="Y31:Z31" si="12">SUM(Y32:Y36)</f>
        <v>270348</v>
      </c>
      <c r="Z31" s="7">
        <f t="shared" si="12"/>
        <v>204495</v>
      </c>
    </row>
    <row r="32" spans="1:26" s="50" customFormat="1" ht="15" customHeight="1" x14ac:dyDescent="0.15">
      <c r="B32" s="25" t="s">
        <v>20</v>
      </c>
      <c r="C32" s="66" t="s">
        <v>16</v>
      </c>
      <c r="D32" s="66" t="s">
        <v>16</v>
      </c>
      <c r="E32" s="66">
        <v>95300</v>
      </c>
      <c r="F32" s="67">
        <v>0</v>
      </c>
      <c r="G32" s="67">
        <v>0</v>
      </c>
      <c r="H32" s="68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164243</v>
      </c>
      <c r="Z32" s="2">
        <v>47818</v>
      </c>
    </row>
    <row r="33" spans="1:26" s="50" customFormat="1" ht="15" customHeight="1" x14ac:dyDescent="0.15">
      <c r="B33" s="87" t="s">
        <v>42</v>
      </c>
      <c r="C33" s="74" t="s">
        <v>16</v>
      </c>
      <c r="D33" s="74" t="s">
        <v>16</v>
      </c>
      <c r="E33" s="67">
        <v>0</v>
      </c>
      <c r="F33" s="67">
        <v>0</v>
      </c>
      <c r="G33" s="67">
        <v>0</v>
      </c>
      <c r="H33" s="74">
        <v>4662</v>
      </c>
      <c r="I33" s="74">
        <v>16943</v>
      </c>
      <c r="J33" s="74">
        <v>20574</v>
      </c>
      <c r="K33" s="74">
        <v>22064</v>
      </c>
      <c r="L33" s="74">
        <v>9340</v>
      </c>
      <c r="M33" s="74">
        <v>73242</v>
      </c>
      <c r="N33" s="74">
        <v>204590</v>
      </c>
      <c r="O33" s="74">
        <v>102888</v>
      </c>
      <c r="P33" s="74">
        <v>168939</v>
      </c>
      <c r="Q33" s="50">
        <v>0</v>
      </c>
      <c r="R33" s="50">
        <v>0</v>
      </c>
      <c r="S33" s="50">
        <v>0</v>
      </c>
      <c r="T33" s="15">
        <v>9340</v>
      </c>
      <c r="U33" s="15">
        <v>168939</v>
      </c>
      <c r="V33" s="2">
        <v>0</v>
      </c>
      <c r="W33" s="2">
        <v>0</v>
      </c>
      <c r="X33" s="2">
        <v>0</v>
      </c>
      <c r="Y33" s="2">
        <v>59852</v>
      </c>
      <c r="Z33" s="2">
        <v>63714</v>
      </c>
    </row>
    <row r="34" spans="1:26" s="50" customFormat="1" ht="15" customHeight="1" x14ac:dyDescent="0.15">
      <c r="B34" s="25" t="s">
        <v>71</v>
      </c>
      <c r="C34" s="74" t="s">
        <v>16</v>
      </c>
      <c r="D34" s="74" t="s">
        <v>16</v>
      </c>
      <c r="E34" s="74">
        <v>108607</v>
      </c>
      <c r="F34" s="68">
        <v>160307</v>
      </c>
      <c r="G34" s="68">
        <v>112540</v>
      </c>
      <c r="H34" s="68">
        <v>7714</v>
      </c>
      <c r="I34" s="74">
        <v>616</v>
      </c>
      <c r="J34" s="74">
        <v>4129</v>
      </c>
      <c r="K34" s="74">
        <v>470</v>
      </c>
      <c r="L34" s="74">
        <v>36396</v>
      </c>
      <c r="M34" s="74">
        <v>5684</v>
      </c>
      <c r="N34" s="50">
        <v>0</v>
      </c>
      <c r="O34" s="74">
        <v>131</v>
      </c>
      <c r="P34" s="50">
        <v>0</v>
      </c>
      <c r="Q34" s="50">
        <v>0</v>
      </c>
      <c r="R34" s="50">
        <v>0</v>
      </c>
      <c r="S34" s="50">
        <v>0</v>
      </c>
      <c r="T34" s="15">
        <v>36396</v>
      </c>
      <c r="U34" s="2">
        <v>0</v>
      </c>
      <c r="V34" s="2">
        <v>0</v>
      </c>
      <c r="W34" s="2">
        <v>0</v>
      </c>
      <c r="X34" s="2">
        <v>0</v>
      </c>
      <c r="Y34" s="2">
        <v>40409</v>
      </c>
      <c r="Z34" s="2">
        <v>22475</v>
      </c>
    </row>
    <row r="35" spans="1:26" ht="15" customHeight="1" x14ac:dyDescent="0.2">
      <c r="A35" s="1"/>
      <c r="B35" s="50" t="s">
        <v>75</v>
      </c>
      <c r="C35" s="68" t="s">
        <v>16</v>
      </c>
      <c r="D35" s="68" t="s">
        <v>16</v>
      </c>
      <c r="E35" s="68" t="s">
        <v>16</v>
      </c>
      <c r="F35" s="68" t="s">
        <v>16</v>
      </c>
      <c r="G35" s="68">
        <v>0</v>
      </c>
      <c r="H35" s="68">
        <v>6587</v>
      </c>
      <c r="I35" s="88">
        <v>0</v>
      </c>
      <c r="J35" s="88">
        <v>0</v>
      </c>
      <c r="K35" s="88">
        <v>0</v>
      </c>
      <c r="L35" s="88">
        <v>0</v>
      </c>
      <c r="M35" s="89">
        <v>10700</v>
      </c>
      <c r="N35" s="89">
        <v>21530</v>
      </c>
      <c r="O35" s="89">
        <v>22508</v>
      </c>
      <c r="P35" s="89">
        <v>18618</v>
      </c>
      <c r="Q35" s="29">
        <v>0</v>
      </c>
      <c r="R35" s="29">
        <v>0</v>
      </c>
      <c r="S35" s="29">
        <v>0</v>
      </c>
      <c r="T35" s="12">
        <v>275</v>
      </c>
      <c r="U35" s="15">
        <v>18618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</row>
    <row r="36" spans="1:26" ht="15" customHeight="1" x14ac:dyDescent="0.2">
      <c r="A36" s="1"/>
      <c r="B36" s="11" t="s">
        <v>90</v>
      </c>
      <c r="C36" s="68" t="s">
        <v>16</v>
      </c>
      <c r="D36" s="68" t="s">
        <v>16</v>
      </c>
      <c r="E36" s="68" t="s">
        <v>16</v>
      </c>
      <c r="F36" s="68" t="s">
        <v>16</v>
      </c>
      <c r="G36" s="68">
        <v>0</v>
      </c>
      <c r="H36" s="68">
        <v>47881</v>
      </c>
      <c r="I36" s="88">
        <v>0</v>
      </c>
      <c r="J36" s="88">
        <v>0</v>
      </c>
      <c r="K36" s="88">
        <v>0</v>
      </c>
      <c r="L36" s="88">
        <v>0</v>
      </c>
      <c r="M36" s="89">
        <v>197845</v>
      </c>
      <c r="N36" s="89">
        <v>24672</v>
      </c>
      <c r="O36" s="89">
        <v>116361</v>
      </c>
      <c r="P36" s="89">
        <v>21814</v>
      </c>
      <c r="Q36" s="89">
        <v>6014</v>
      </c>
      <c r="R36" s="89">
        <v>5814</v>
      </c>
      <c r="S36" s="89">
        <v>5755</v>
      </c>
      <c r="T36" s="12">
        <v>140630</v>
      </c>
      <c r="U36" s="15">
        <v>21814</v>
      </c>
      <c r="V36" s="20">
        <v>505738</v>
      </c>
      <c r="W36" s="20">
        <v>1005337</v>
      </c>
      <c r="X36" s="20">
        <v>5050</v>
      </c>
      <c r="Y36" s="20">
        <v>5844</v>
      </c>
      <c r="Z36" s="20">
        <v>70488</v>
      </c>
    </row>
    <row r="37" spans="1:26" s="52" customFormat="1" ht="15" customHeight="1" x14ac:dyDescent="0.15">
      <c r="B37" s="70"/>
      <c r="C37" s="90"/>
      <c r="D37" s="90"/>
      <c r="E37" s="90"/>
      <c r="F37" s="66"/>
      <c r="G37" s="67"/>
      <c r="H37" s="68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2"/>
      <c r="U37" s="2"/>
      <c r="V37" s="2"/>
      <c r="W37" s="2"/>
      <c r="X37" s="2"/>
      <c r="Y37" s="2"/>
      <c r="Z37" s="2"/>
    </row>
    <row r="38" spans="1:26" s="52" customFormat="1" ht="15.95" customHeight="1" x14ac:dyDescent="0.15">
      <c r="A38" s="56">
        <v>3</v>
      </c>
      <c r="B38" s="61" t="s">
        <v>45</v>
      </c>
      <c r="C38" s="62" t="s">
        <v>16</v>
      </c>
      <c r="D38" s="62" t="s">
        <v>16</v>
      </c>
      <c r="E38" s="62" t="s">
        <v>16</v>
      </c>
      <c r="F38" s="62">
        <v>100288</v>
      </c>
      <c r="G38" s="62">
        <v>5224</v>
      </c>
      <c r="H38" s="62">
        <v>9833</v>
      </c>
      <c r="I38" s="38">
        <v>4533</v>
      </c>
      <c r="J38" s="38">
        <v>4544</v>
      </c>
      <c r="K38" s="38">
        <v>15916</v>
      </c>
      <c r="L38" s="38">
        <v>16163</v>
      </c>
      <c r="M38" s="38">
        <v>16043</v>
      </c>
      <c r="N38" s="38">
        <v>15863</v>
      </c>
      <c r="O38" s="38">
        <f>O39+O46</f>
        <v>4912</v>
      </c>
      <c r="P38" s="38">
        <f>P39+P46</f>
        <v>4664</v>
      </c>
      <c r="Q38" s="38">
        <f>Q39+Q46</f>
        <v>4232</v>
      </c>
      <c r="R38" s="38">
        <v>4232</v>
      </c>
      <c r="S38" s="38">
        <f>S39+S46</f>
        <v>4232</v>
      </c>
      <c r="T38" s="7">
        <v>16163</v>
      </c>
      <c r="U38" s="7">
        <f>U39+U46</f>
        <v>4664</v>
      </c>
      <c r="V38" s="7">
        <f t="shared" ref="V38:Z38" si="13">V39+V46</f>
        <v>4232</v>
      </c>
      <c r="W38" s="7">
        <f t="shared" si="13"/>
        <v>199941</v>
      </c>
      <c r="X38" s="7">
        <f t="shared" si="13"/>
        <v>117464</v>
      </c>
      <c r="Y38" s="7">
        <f t="shared" si="13"/>
        <v>265</v>
      </c>
      <c r="Z38" s="7">
        <f t="shared" si="13"/>
        <v>265</v>
      </c>
    </row>
    <row r="39" spans="1:26" s="53" customFormat="1" ht="15.95" customHeight="1" x14ac:dyDescent="0.2">
      <c r="B39" s="63" t="s">
        <v>34</v>
      </c>
      <c r="C39" s="62" t="s">
        <v>16</v>
      </c>
      <c r="D39" s="62" t="s">
        <v>16</v>
      </c>
      <c r="E39" s="62" t="s">
        <v>16</v>
      </c>
      <c r="F39" s="64">
        <v>4533</v>
      </c>
      <c r="G39" s="64">
        <v>4533</v>
      </c>
      <c r="H39" s="64">
        <v>4533</v>
      </c>
      <c r="I39" s="65">
        <v>4533</v>
      </c>
      <c r="J39" s="65">
        <v>4544</v>
      </c>
      <c r="K39" s="65">
        <v>4544</v>
      </c>
      <c r="L39" s="65">
        <v>4872</v>
      </c>
      <c r="M39" s="65">
        <v>4744</v>
      </c>
      <c r="N39" s="65">
        <v>4871</v>
      </c>
      <c r="O39" s="65">
        <f>SUM(O40:O44)</f>
        <v>4912</v>
      </c>
      <c r="P39" s="65">
        <f>SUM(P40:P44)</f>
        <v>4543</v>
      </c>
      <c r="Q39" s="65">
        <f>SUM(Q40:Q44)</f>
        <v>4232</v>
      </c>
      <c r="R39" s="65">
        <f>SUM(R40:R44)</f>
        <v>4232</v>
      </c>
      <c r="S39" s="65">
        <f>SUM(S40:S44)</f>
        <v>4232</v>
      </c>
      <c r="T39" s="7">
        <v>4872</v>
      </c>
      <c r="U39" s="7">
        <f>SUM(U40:U44)</f>
        <v>4543</v>
      </c>
      <c r="V39" s="7">
        <v>4232</v>
      </c>
      <c r="W39" s="7">
        <f t="shared" ref="W39" si="14">SUM(W40:W43)</f>
        <v>170587</v>
      </c>
      <c r="X39" s="7">
        <f t="shared" ref="X39" si="15">SUM(X40:X43)</f>
        <v>10060</v>
      </c>
      <c r="Y39" s="7">
        <f t="shared" ref="Y39:Z39" si="16">SUM(Y40:Y43)</f>
        <v>0</v>
      </c>
      <c r="Z39" s="7">
        <f t="shared" si="16"/>
        <v>0</v>
      </c>
    </row>
    <row r="40" spans="1:26" s="50" customFormat="1" ht="15" customHeight="1" x14ac:dyDescent="0.15">
      <c r="B40" s="50" t="s">
        <v>18</v>
      </c>
      <c r="C40" s="68" t="s">
        <v>16</v>
      </c>
      <c r="D40" s="68" t="s">
        <v>16</v>
      </c>
      <c r="E40" s="68" t="s">
        <v>16</v>
      </c>
      <c r="F40" s="67">
        <v>0</v>
      </c>
      <c r="G40" s="67">
        <v>0</v>
      </c>
      <c r="H40" s="68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168</v>
      </c>
      <c r="Q40" s="50">
        <v>0</v>
      </c>
      <c r="R40" s="50">
        <v>0</v>
      </c>
      <c r="S40" s="50">
        <v>0</v>
      </c>
      <c r="T40" s="2">
        <v>0</v>
      </c>
      <c r="U40" s="2">
        <v>168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</row>
    <row r="41" spans="1:26" s="50" customFormat="1" ht="15" customHeight="1" x14ac:dyDescent="0.15">
      <c r="B41" s="25" t="s">
        <v>41</v>
      </c>
      <c r="C41" s="68" t="s">
        <v>16</v>
      </c>
      <c r="D41" s="68" t="s">
        <v>16</v>
      </c>
      <c r="E41" s="68" t="s">
        <v>16</v>
      </c>
      <c r="F41" s="67">
        <v>0</v>
      </c>
      <c r="G41" s="67">
        <v>0</v>
      </c>
      <c r="H41" s="68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</row>
    <row r="42" spans="1:26" s="50" customFormat="1" ht="15" customHeight="1" x14ac:dyDescent="0.15">
      <c r="B42" s="25" t="s">
        <v>40</v>
      </c>
      <c r="C42" s="68" t="s">
        <v>16</v>
      </c>
      <c r="D42" s="68" t="s">
        <v>16</v>
      </c>
      <c r="E42" s="68" t="s">
        <v>16</v>
      </c>
      <c r="F42" s="67">
        <v>0</v>
      </c>
      <c r="G42" s="67">
        <v>0</v>
      </c>
      <c r="H42" s="68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</row>
    <row r="43" spans="1:26" s="50" customFormat="1" ht="15" customHeight="1" x14ac:dyDescent="0.15">
      <c r="B43" s="25" t="s">
        <v>71</v>
      </c>
      <c r="C43" s="68" t="s">
        <v>16</v>
      </c>
      <c r="D43" s="68" t="s">
        <v>16</v>
      </c>
      <c r="E43" s="68" t="s">
        <v>16</v>
      </c>
      <c r="F43" s="67">
        <v>4533</v>
      </c>
      <c r="G43" s="67">
        <v>4533</v>
      </c>
      <c r="H43" s="67">
        <v>4533</v>
      </c>
      <c r="I43" s="86">
        <v>4533</v>
      </c>
      <c r="J43" s="86">
        <v>4544</v>
      </c>
      <c r="K43" s="86">
        <v>4544</v>
      </c>
      <c r="L43" s="86">
        <v>4872</v>
      </c>
      <c r="M43" s="86">
        <v>4744</v>
      </c>
      <c r="N43" s="86">
        <v>4871</v>
      </c>
      <c r="O43" s="86">
        <v>4912</v>
      </c>
      <c r="P43" s="86">
        <v>4375</v>
      </c>
      <c r="Q43" s="86">
        <v>4232</v>
      </c>
      <c r="R43" s="86">
        <v>4232</v>
      </c>
      <c r="S43" s="86">
        <v>4232</v>
      </c>
      <c r="T43" s="20">
        <v>4872</v>
      </c>
      <c r="U43" s="20">
        <v>4375</v>
      </c>
      <c r="V43" s="20">
        <v>4232</v>
      </c>
      <c r="W43" s="20">
        <v>170587</v>
      </c>
      <c r="X43" s="20">
        <v>10060</v>
      </c>
      <c r="Y43" s="20">
        <v>0</v>
      </c>
      <c r="Z43" s="20">
        <v>0</v>
      </c>
    </row>
    <row r="44" spans="1:26" s="50" customFormat="1" ht="15" customHeight="1" x14ac:dyDescent="0.15">
      <c r="B44" s="25" t="s">
        <v>88</v>
      </c>
      <c r="C44" s="67" t="s">
        <v>16</v>
      </c>
      <c r="D44" s="67" t="s">
        <v>16</v>
      </c>
      <c r="E44" s="67" t="s">
        <v>16</v>
      </c>
      <c r="F44" s="67">
        <v>0</v>
      </c>
      <c r="G44" s="67">
        <v>0</v>
      </c>
      <c r="H44" s="67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</row>
    <row r="45" spans="1:26" s="69" customFormat="1" ht="15" customHeight="1" x14ac:dyDescent="0.15">
      <c r="C45" s="72"/>
      <c r="D45" s="72"/>
      <c r="E45" s="72"/>
      <c r="F45" s="72"/>
      <c r="G45" s="72"/>
      <c r="H45" s="72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22"/>
      <c r="U45" s="22"/>
      <c r="V45" s="22"/>
      <c r="W45" s="22"/>
      <c r="X45" s="22"/>
      <c r="Y45" s="22"/>
      <c r="Z45" s="22"/>
    </row>
    <row r="46" spans="1:26" s="53" customFormat="1" ht="15.95" customHeight="1" x14ac:dyDescent="0.2">
      <c r="B46" s="63" t="s">
        <v>35</v>
      </c>
      <c r="C46" s="62" t="s">
        <v>16</v>
      </c>
      <c r="D46" s="62" t="s">
        <v>16</v>
      </c>
      <c r="E46" s="62" t="s">
        <v>16</v>
      </c>
      <c r="F46" s="92">
        <v>95755</v>
      </c>
      <c r="G46" s="92">
        <v>691</v>
      </c>
      <c r="H46" s="92">
        <v>5300</v>
      </c>
      <c r="I46" s="65">
        <v>0</v>
      </c>
      <c r="J46" s="65">
        <v>0</v>
      </c>
      <c r="K46" s="65">
        <v>11372</v>
      </c>
      <c r="L46" s="65">
        <v>11291</v>
      </c>
      <c r="M46" s="65">
        <v>11299</v>
      </c>
      <c r="N46" s="65">
        <v>10992</v>
      </c>
      <c r="O46" s="65">
        <f>SUM(O47:O49)</f>
        <v>0</v>
      </c>
      <c r="P46" s="65">
        <f>SUM(P47:P49)</f>
        <v>121</v>
      </c>
      <c r="Q46" s="65">
        <f>SUM(Q47:Q49)</f>
        <v>0</v>
      </c>
      <c r="R46" s="65">
        <v>0</v>
      </c>
      <c r="S46" s="65">
        <f>SUM(S47:S49)</f>
        <v>0</v>
      </c>
      <c r="T46" s="7">
        <v>11291</v>
      </c>
      <c r="U46" s="7">
        <f>SUM(U47:U49)</f>
        <v>121</v>
      </c>
      <c r="V46" s="7">
        <v>0</v>
      </c>
      <c r="W46" s="7">
        <f t="shared" ref="W46" si="17">SUM(W47:W51)</f>
        <v>29354</v>
      </c>
      <c r="X46" s="7">
        <f>SUM(X47:X51)</f>
        <v>107404</v>
      </c>
      <c r="Y46" s="7">
        <f>SUM(Y47:Y51)</f>
        <v>265</v>
      </c>
      <c r="Z46" s="7">
        <f t="shared" ref="Z46" si="18">SUM(Z47:Z51)</f>
        <v>265</v>
      </c>
    </row>
    <row r="47" spans="1:26" s="50" customFormat="1" ht="15" customHeight="1" x14ac:dyDescent="0.15">
      <c r="B47" s="25" t="s">
        <v>20</v>
      </c>
      <c r="C47" s="67" t="s">
        <v>16</v>
      </c>
      <c r="D47" s="67" t="s">
        <v>16</v>
      </c>
      <c r="E47" s="67" t="s">
        <v>16</v>
      </c>
      <c r="F47" s="66">
        <v>95000</v>
      </c>
      <c r="G47" s="68">
        <v>0</v>
      </c>
      <c r="H47" s="68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2">
        <v>0</v>
      </c>
      <c r="U47" s="2">
        <v>0</v>
      </c>
      <c r="V47" s="20">
        <v>0</v>
      </c>
      <c r="W47" s="20">
        <f>120+28752</f>
        <v>28872</v>
      </c>
      <c r="X47" s="20">
        <v>49623</v>
      </c>
      <c r="Y47" s="20">
        <v>265</v>
      </c>
      <c r="Z47" s="20">
        <v>265</v>
      </c>
    </row>
    <row r="48" spans="1:26" s="50" customFormat="1" ht="15" customHeight="1" x14ac:dyDescent="0.15">
      <c r="B48" s="87" t="s">
        <v>42</v>
      </c>
      <c r="C48" s="74" t="s">
        <v>16</v>
      </c>
      <c r="D48" s="74" t="s">
        <v>16</v>
      </c>
      <c r="E48" s="74" t="s">
        <v>16</v>
      </c>
      <c r="F48" s="67">
        <v>0</v>
      </c>
      <c r="G48" s="68">
        <v>0</v>
      </c>
      <c r="H48" s="68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2">
        <v>0</v>
      </c>
      <c r="U48" s="2">
        <v>0</v>
      </c>
      <c r="V48" s="2">
        <v>0</v>
      </c>
      <c r="W48" s="2">
        <v>0</v>
      </c>
      <c r="X48" s="20">
        <v>57781</v>
      </c>
      <c r="Y48" s="2">
        <v>0</v>
      </c>
      <c r="Z48" s="20">
        <v>0</v>
      </c>
    </row>
    <row r="49" spans="1:67" s="50" customFormat="1" ht="15" customHeight="1" x14ac:dyDescent="0.15">
      <c r="B49" s="25" t="s">
        <v>71</v>
      </c>
      <c r="C49" s="74" t="s">
        <v>16</v>
      </c>
      <c r="D49" s="74" t="s">
        <v>16</v>
      </c>
      <c r="E49" s="74" t="s">
        <v>16</v>
      </c>
      <c r="F49" s="74">
        <v>755</v>
      </c>
      <c r="G49" s="74">
        <v>691</v>
      </c>
      <c r="H49" s="66">
        <v>5086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137</v>
      </c>
      <c r="O49" s="50">
        <v>0</v>
      </c>
      <c r="P49" s="50">
        <v>121</v>
      </c>
      <c r="Q49" s="50">
        <v>0</v>
      </c>
      <c r="R49" s="50">
        <v>0</v>
      </c>
      <c r="S49" s="50">
        <v>0</v>
      </c>
      <c r="T49" s="2">
        <v>0</v>
      </c>
      <c r="U49" s="2">
        <v>121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</row>
    <row r="50" spans="1:67" ht="15" customHeight="1" x14ac:dyDescent="0.2">
      <c r="B50" s="76" t="s">
        <v>75</v>
      </c>
      <c r="C50" s="68" t="s">
        <v>16</v>
      </c>
      <c r="D50" s="68" t="s">
        <v>16</v>
      </c>
      <c r="E50" s="68" t="s">
        <v>16</v>
      </c>
      <c r="F50" s="68" t="s">
        <v>16</v>
      </c>
      <c r="G50" s="50">
        <v>0</v>
      </c>
      <c r="H50" s="50">
        <v>214</v>
      </c>
      <c r="I50" s="88" t="s">
        <v>16</v>
      </c>
      <c r="J50" s="88" t="s">
        <v>16</v>
      </c>
      <c r="K50" s="88" t="s">
        <v>16</v>
      </c>
      <c r="L50" s="93" t="s">
        <v>16</v>
      </c>
      <c r="M50" s="94">
        <v>11299</v>
      </c>
      <c r="N50" s="93">
        <v>10855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12">
        <v>11291</v>
      </c>
      <c r="U50" s="24">
        <v>0</v>
      </c>
      <c r="V50" s="24">
        <v>0</v>
      </c>
      <c r="W50" s="2">
        <v>0</v>
      </c>
      <c r="X50" s="2">
        <v>0</v>
      </c>
      <c r="Y50" s="2">
        <v>0</v>
      </c>
      <c r="Z50" s="2">
        <v>0</v>
      </c>
    </row>
    <row r="51" spans="1:67" ht="16.5" customHeight="1" x14ac:dyDescent="0.2">
      <c r="B51" s="76" t="s">
        <v>76</v>
      </c>
      <c r="C51" s="68" t="s">
        <v>16</v>
      </c>
      <c r="D51" s="68" t="s">
        <v>16</v>
      </c>
      <c r="E51" s="68" t="s">
        <v>16</v>
      </c>
      <c r="F51" s="68" t="s">
        <v>16</v>
      </c>
      <c r="G51" s="50">
        <v>0</v>
      </c>
      <c r="H51" s="50">
        <v>0</v>
      </c>
      <c r="I51" s="88" t="s">
        <v>16</v>
      </c>
      <c r="J51" s="88" t="s">
        <v>16</v>
      </c>
      <c r="K51" s="88" t="s">
        <v>16</v>
      </c>
      <c r="L51" s="88" t="s">
        <v>16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24">
        <v>0</v>
      </c>
      <c r="U51" s="24">
        <v>0</v>
      </c>
      <c r="V51" s="24">
        <v>0</v>
      </c>
      <c r="W51" s="2">
        <v>482</v>
      </c>
      <c r="X51" s="2">
        <v>0</v>
      </c>
      <c r="Y51" s="2">
        <v>0</v>
      </c>
      <c r="Z51" s="2">
        <v>0</v>
      </c>
    </row>
    <row r="52" spans="1:67" s="52" customFormat="1" ht="12" customHeight="1" x14ac:dyDescent="0.15">
      <c r="B52" s="95"/>
      <c r="C52" s="96"/>
      <c r="D52" s="96"/>
      <c r="E52" s="96"/>
      <c r="F52" s="97"/>
      <c r="G52" s="98"/>
      <c r="H52" s="24"/>
      <c r="T52" s="2"/>
      <c r="U52" s="2"/>
      <c r="V52" s="2"/>
    </row>
    <row r="53" spans="1:67" s="52" customFormat="1" ht="15" customHeight="1" x14ac:dyDescent="0.15">
      <c r="A53" s="99">
        <v>4</v>
      </c>
      <c r="B53" s="61" t="s">
        <v>21</v>
      </c>
      <c r="C53" s="62">
        <v>6639401</v>
      </c>
      <c r="D53" s="62">
        <v>5864475</v>
      </c>
      <c r="E53" s="62">
        <v>3779601</v>
      </c>
      <c r="F53" s="64">
        <v>4295398</v>
      </c>
      <c r="G53" s="64">
        <v>1884052</v>
      </c>
      <c r="H53" s="64">
        <v>1900941</v>
      </c>
      <c r="I53" s="65">
        <v>2114360</v>
      </c>
      <c r="J53" s="65">
        <v>2162353</v>
      </c>
      <c r="K53" s="65">
        <v>2055439</v>
      </c>
      <c r="L53" s="65">
        <v>2085848</v>
      </c>
      <c r="M53" s="38">
        <v>1838615</v>
      </c>
      <c r="N53" s="38">
        <v>1966200</v>
      </c>
      <c r="O53" s="38" t="e">
        <f>O54+O78</f>
        <v>#REF!</v>
      </c>
      <c r="P53" s="38" t="e">
        <f>P54+P78</f>
        <v>#REF!</v>
      </c>
      <c r="Q53" s="38" t="e">
        <f>Q54+Q78</f>
        <v>#REF!</v>
      </c>
      <c r="R53" s="38" t="e">
        <f>R54+R78</f>
        <v>#REF!</v>
      </c>
      <c r="S53" s="38" t="e">
        <f>S54+S78</f>
        <v>#REF!</v>
      </c>
      <c r="T53" s="7">
        <v>2085848</v>
      </c>
      <c r="U53" s="7">
        <f>U54+U78</f>
        <v>2672645</v>
      </c>
      <c r="V53" s="7">
        <v>4748973</v>
      </c>
      <c r="W53" s="7">
        <f t="shared" ref="W53" si="19">W54+W78</f>
        <v>4312008</v>
      </c>
      <c r="X53" s="7">
        <f>X54+X78</f>
        <v>4279328</v>
      </c>
      <c r="Y53" s="7">
        <f t="shared" ref="Y53:Z53" si="20">Y54+Y78</f>
        <v>2955635</v>
      </c>
      <c r="Z53" s="7">
        <f t="shared" si="20"/>
        <v>595987</v>
      </c>
    </row>
    <row r="54" spans="1:67" s="53" customFormat="1" ht="15" customHeight="1" x14ac:dyDescent="0.2">
      <c r="B54" s="63" t="s">
        <v>34</v>
      </c>
      <c r="C54" s="62">
        <v>286784</v>
      </c>
      <c r="D54" s="62">
        <v>467605</v>
      </c>
      <c r="E54" s="62">
        <v>57711</v>
      </c>
      <c r="F54" s="64">
        <v>170820</v>
      </c>
      <c r="G54" s="64">
        <v>143890</v>
      </c>
      <c r="H54" s="64">
        <v>125774</v>
      </c>
      <c r="I54" s="65">
        <v>312780</v>
      </c>
      <c r="J54" s="65">
        <v>355558</v>
      </c>
      <c r="K54" s="65">
        <v>321210</v>
      </c>
      <c r="L54" s="65">
        <v>347738</v>
      </c>
      <c r="M54" s="38">
        <v>197167</v>
      </c>
      <c r="N54" s="38">
        <v>311830</v>
      </c>
      <c r="O54" s="38">
        <f>O55+O56+O57+O61+O72</f>
        <v>32844</v>
      </c>
      <c r="P54" s="38">
        <f>P55+P56+P57+P61+P72</f>
        <v>33707</v>
      </c>
      <c r="Q54" s="38">
        <f>Q55+Q56+Q57+Q61+Q72</f>
        <v>0</v>
      </c>
      <c r="R54" s="38">
        <f>R55+R56+R57+R61+R72</f>
        <v>0</v>
      </c>
      <c r="S54" s="38">
        <f>S55+S56+S57+S61+S72</f>
        <v>0</v>
      </c>
      <c r="T54" s="7">
        <v>347738</v>
      </c>
      <c r="U54" s="7">
        <f>U55+U56+U57+U61+U72</f>
        <v>459246</v>
      </c>
      <c r="V54" s="7">
        <f>V55+V56+V57+V61+V72</f>
        <v>132311</v>
      </c>
      <c r="W54" s="7">
        <f t="shared" ref="W54" si="21">W55+W56+W57+W61+W72</f>
        <v>123157</v>
      </c>
      <c r="X54" s="7">
        <f>X55+X56+X57+X61+X72</f>
        <v>192961</v>
      </c>
      <c r="Y54" s="7">
        <f t="shared" ref="Y54:Z54" si="22">Y55+Y56+Y57+Y61+Y72</f>
        <v>64906</v>
      </c>
      <c r="Z54" s="7">
        <f t="shared" si="22"/>
        <v>324689</v>
      </c>
    </row>
    <row r="55" spans="1:67" s="52" customFormat="1" ht="15" customHeight="1" x14ac:dyDescent="0.15">
      <c r="B55" s="52" t="s">
        <v>4</v>
      </c>
      <c r="C55" s="97">
        <v>0</v>
      </c>
      <c r="D55" s="97">
        <v>0</v>
      </c>
      <c r="E55" s="97">
        <f>-E3</f>
        <v>0</v>
      </c>
      <c r="F55" s="67">
        <v>0</v>
      </c>
      <c r="G55" s="67">
        <v>0</v>
      </c>
      <c r="H55" s="68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13</v>
      </c>
      <c r="P55" s="50">
        <v>0</v>
      </c>
      <c r="Q55" s="50">
        <v>0</v>
      </c>
      <c r="R55" s="50">
        <v>0</v>
      </c>
      <c r="S55" s="50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</row>
    <row r="56" spans="1:67" s="52" customFormat="1" ht="15" customHeight="1" x14ac:dyDescent="0.15">
      <c r="B56" s="52" t="s">
        <v>19</v>
      </c>
      <c r="C56" s="97">
        <v>0</v>
      </c>
      <c r="D56" s="97">
        <v>0</v>
      </c>
      <c r="E56" s="97">
        <v>0</v>
      </c>
      <c r="F56" s="67">
        <v>0</v>
      </c>
      <c r="G56" s="67">
        <v>0</v>
      </c>
      <c r="H56" s="68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5</v>
      </c>
      <c r="Q56" s="50">
        <v>0</v>
      </c>
      <c r="R56" s="50">
        <v>0</v>
      </c>
      <c r="S56" s="50">
        <v>0</v>
      </c>
      <c r="T56" s="2">
        <v>0</v>
      </c>
      <c r="U56" s="2">
        <v>5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</row>
    <row r="57" spans="1:67" s="52" customFormat="1" ht="15" customHeight="1" x14ac:dyDescent="0.15">
      <c r="B57" s="52" t="s">
        <v>24</v>
      </c>
      <c r="C57" s="97">
        <v>278473</v>
      </c>
      <c r="D57" s="97">
        <v>449150</v>
      </c>
      <c r="E57" s="97">
        <v>53841</v>
      </c>
      <c r="F57" s="67">
        <f>(F58+F59+F60)</f>
        <v>54094</v>
      </c>
      <c r="G57" s="67">
        <f t="shared" ref="G57:Q57" si="23">(G58+G59+G60)</f>
        <v>137</v>
      </c>
      <c r="H57" s="67">
        <f t="shared" si="23"/>
        <v>24473</v>
      </c>
      <c r="I57" s="86">
        <f t="shared" si="23"/>
        <v>23804</v>
      </c>
      <c r="J57" s="86">
        <f t="shared" si="23"/>
        <v>22670</v>
      </c>
      <c r="K57" s="86">
        <f t="shared" si="23"/>
        <v>23722</v>
      </c>
      <c r="L57" s="86">
        <f t="shared" si="23"/>
        <v>23896</v>
      </c>
      <c r="M57" s="86">
        <f t="shared" si="23"/>
        <v>22341</v>
      </c>
      <c r="N57" s="86">
        <f t="shared" si="23"/>
        <v>16328</v>
      </c>
      <c r="O57" s="86">
        <f t="shared" si="23"/>
        <v>13060</v>
      </c>
      <c r="P57" s="86">
        <f t="shared" si="23"/>
        <v>9509</v>
      </c>
      <c r="Q57" s="86">
        <f t="shared" si="23"/>
        <v>0</v>
      </c>
      <c r="R57" s="86">
        <v>0</v>
      </c>
      <c r="S57" s="86">
        <v>0</v>
      </c>
      <c r="T57" s="20">
        <f>(T58+T59+T60)</f>
        <v>23896</v>
      </c>
      <c r="U57" s="20">
        <f>(U58+U59+U60)</f>
        <v>9509</v>
      </c>
      <c r="V57" s="20">
        <v>0</v>
      </c>
      <c r="W57" s="20">
        <v>0</v>
      </c>
      <c r="X57" s="20">
        <v>0</v>
      </c>
      <c r="Y57" s="20">
        <v>0</v>
      </c>
      <c r="Z57" s="20">
        <f t="shared" ref="Z57" si="24">+Z58+Z59+Z60</f>
        <v>0</v>
      </c>
    </row>
    <row r="58" spans="1:67" s="28" customFormat="1" ht="15" customHeight="1" x14ac:dyDescent="0.15">
      <c r="A58" s="81"/>
      <c r="B58" s="29" t="s">
        <v>26</v>
      </c>
      <c r="C58" s="100">
        <v>1360</v>
      </c>
      <c r="D58" s="100">
        <v>0</v>
      </c>
      <c r="E58" s="100">
        <v>0</v>
      </c>
      <c r="F58" s="100">
        <v>0</v>
      </c>
      <c r="G58" s="100">
        <v>0</v>
      </c>
      <c r="H58" s="88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</row>
    <row r="59" spans="1:67" s="28" customFormat="1" ht="15" customHeight="1" x14ac:dyDescent="0.15">
      <c r="A59" s="81"/>
      <c r="B59" s="29" t="s">
        <v>27</v>
      </c>
      <c r="C59" s="100">
        <v>253420</v>
      </c>
      <c r="D59" s="100">
        <v>416050</v>
      </c>
      <c r="E59" s="100">
        <v>53841</v>
      </c>
      <c r="F59" s="100">
        <v>54094</v>
      </c>
      <c r="G59" s="100">
        <v>137</v>
      </c>
      <c r="H59" s="88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</row>
    <row r="60" spans="1:67" s="28" customFormat="1" ht="15" customHeight="1" x14ac:dyDescent="0.15">
      <c r="A60" s="81"/>
      <c r="B60" s="29" t="s">
        <v>61</v>
      </c>
      <c r="C60" s="100">
        <v>23693</v>
      </c>
      <c r="D60" s="100">
        <v>33100</v>
      </c>
      <c r="E60" s="100">
        <v>0</v>
      </c>
      <c r="F60" s="100">
        <v>0</v>
      </c>
      <c r="G60" s="100">
        <v>0</v>
      </c>
      <c r="H60" s="100">
        <v>24473</v>
      </c>
      <c r="I60" s="101">
        <v>23804</v>
      </c>
      <c r="J60" s="101">
        <v>22670</v>
      </c>
      <c r="K60" s="101">
        <v>23722</v>
      </c>
      <c r="L60" s="101">
        <v>23896</v>
      </c>
      <c r="M60" s="101">
        <v>22341</v>
      </c>
      <c r="N60" s="101">
        <v>16328</v>
      </c>
      <c r="O60" s="101">
        <v>13060</v>
      </c>
      <c r="P60" s="101">
        <v>9509</v>
      </c>
      <c r="Q60" s="101">
        <v>0</v>
      </c>
      <c r="R60" s="101">
        <v>0</v>
      </c>
      <c r="S60" s="101">
        <v>0</v>
      </c>
      <c r="T60" s="31">
        <v>23896</v>
      </c>
      <c r="U60" s="31">
        <v>9509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</row>
    <row r="61" spans="1:67" s="52" customFormat="1" ht="15" customHeight="1" x14ac:dyDescent="0.15">
      <c r="B61" s="52" t="s">
        <v>46</v>
      </c>
      <c r="C61" s="97">
        <f>C62+C66</f>
        <v>1240</v>
      </c>
      <c r="D61" s="97">
        <f t="shared" ref="D61:S61" si="25">D62+D66</f>
        <v>2745</v>
      </c>
      <c r="E61" s="97">
        <f t="shared" si="25"/>
        <v>3843</v>
      </c>
      <c r="F61" s="97">
        <f t="shared" si="25"/>
        <v>116726</v>
      </c>
      <c r="G61" s="97">
        <f t="shared" si="25"/>
        <v>143753</v>
      </c>
      <c r="H61" s="97">
        <f t="shared" si="25"/>
        <v>96775</v>
      </c>
      <c r="I61" s="102">
        <f t="shared" si="25"/>
        <v>0</v>
      </c>
      <c r="J61" s="102">
        <f t="shared" si="25"/>
        <v>0</v>
      </c>
      <c r="K61" s="102">
        <f t="shared" si="25"/>
        <v>0</v>
      </c>
      <c r="L61" s="102">
        <f t="shared" si="25"/>
        <v>0</v>
      </c>
      <c r="M61" s="102">
        <f t="shared" si="25"/>
        <v>0</v>
      </c>
      <c r="N61" s="102">
        <f t="shared" si="25"/>
        <v>0</v>
      </c>
      <c r="O61" s="102">
        <f t="shared" si="25"/>
        <v>0</v>
      </c>
      <c r="P61" s="102">
        <f t="shared" si="25"/>
        <v>0</v>
      </c>
      <c r="Q61" s="102">
        <f t="shared" si="25"/>
        <v>0</v>
      </c>
      <c r="R61" s="102">
        <f t="shared" si="25"/>
        <v>0</v>
      </c>
      <c r="S61" s="102">
        <f t="shared" si="25"/>
        <v>0</v>
      </c>
      <c r="T61" s="20">
        <f>T63+T64+T65+T67+T68+T69+T70+T71</f>
        <v>319193</v>
      </c>
      <c r="U61" s="20">
        <f>U63+U64+U65+U67+U68+U69+U70+U71</f>
        <v>425539</v>
      </c>
      <c r="V61" s="20">
        <f t="shared" ref="V61:Y61" si="26">V63+V64+V65+V67+V68+V69+V70+V71</f>
        <v>132311</v>
      </c>
      <c r="W61" s="20">
        <f t="shared" si="26"/>
        <v>123157</v>
      </c>
      <c r="X61" s="20">
        <f t="shared" si="26"/>
        <v>192961</v>
      </c>
      <c r="Y61" s="20">
        <f t="shared" si="26"/>
        <v>64906</v>
      </c>
      <c r="Z61" s="20">
        <f t="shared" ref="Z61" si="27">Z62+Z66</f>
        <v>324689</v>
      </c>
    </row>
    <row r="62" spans="1:67" s="81" customFormat="1" ht="15" customHeight="1" x14ac:dyDescent="0.15">
      <c r="B62" s="81" t="s">
        <v>77</v>
      </c>
      <c r="C62" s="103">
        <f t="shared" ref="C62:H62" si="28">SUM(C63:C65)</f>
        <v>0</v>
      </c>
      <c r="D62" s="103">
        <f t="shared" si="28"/>
        <v>0</v>
      </c>
      <c r="E62" s="103">
        <f t="shared" si="28"/>
        <v>0</v>
      </c>
      <c r="F62" s="103">
        <f t="shared" si="28"/>
        <v>0</v>
      </c>
      <c r="G62" s="103">
        <f t="shared" si="28"/>
        <v>0</v>
      </c>
      <c r="H62" s="103">
        <f t="shared" si="28"/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20">
        <f>SUM(T63:T65)</f>
        <v>0</v>
      </c>
      <c r="U62" s="20">
        <f>SUM(U63:U65)</f>
        <v>0</v>
      </c>
      <c r="V62" s="20">
        <f t="shared" ref="V62" si="29">SUM(V63:V65)</f>
        <v>0</v>
      </c>
      <c r="W62" s="20">
        <f t="shared" ref="W62" si="30">SUM(W63:W65)</f>
        <v>0</v>
      </c>
      <c r="X62" s="20">
        <f>SUM(X63:X65)</f>
        <v>0</v>
      </c>
      <c r="Y62" s="20">
        <f>SUM(Y63:Y65)</f>
        <v>0</v>
      </c>
      <c r="Z62" s="20">
        <f t="shared" ref="Z62" si="31">SUM(Z63:Z65)</f>
        <v>0</v>
      </c>
    </row>
    <row r="63" spans="1:67" s="28" customFormat="1" ht="15" customHeight="1" x14ac:dyDescent="0.15">
      <c r="A63" s="81"/>
      <c r="B63" s="34" t="s">
        <v>47</v>
      </c>
      <c r="C63" s="100">
        <v>0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</row>
    <row r="64" spans="1:67" s="28" customFormat="1" ht="15" customHeight="1" x14ac:dyDescent="0.15">
      <c r="A64" s="81"/>
      <c r="B64" s="34" t="s">
        <v>48</v>
      </c>
      <c r="C64" s="100">
        <v>0</v>
      </c>
      <c r="D64" s="100">
        <v>0</v>
      </c>
      <c r="E64" s="100">
        <v>0</v>
      </c>
      <c r="F64" s="100">
        <v>0</v>
      </c>
      <c r="G64" s="100">
        <v>0</v>
      </c>
      <c r="H64" s="100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</row>
    <row r="65" spans="1:67" s="28" customFormat="1" ht="15" customHeight="1" x14ac:dyDescent="0.15">
      <c r="A65" s="81"/>
      <c r="B65" s="34" t="s">
        <v>49</v>
      </c>
      <c r="C65" s="100">
        <v>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</row>
    <row r="66" spans="1:67" s="81" customFormat="1" ht="15" customHeight="1" x14ac:dyDescent="0.15">
      <c r="B66" s="81" t="s">
        <v>78</v>
      </c>
      <c r="C66" s="103">
        <f t="shared" ref="C66:H66" si="32">SUM(C67:C71)</f>
        <v>1240</v>
      </c>
      <c r="D66" s="103">
        <f t="shared" si="32"/>
        <v>2745</v>
      </c>
      <c r="E66" s="103">
        <f t="shared" si="32"/>
        <v>3843</v>
      </c>
      <c r="F66" s="103">
        <f t="shared" si="32"/>
        <v>116726</v>
      </c>
      <c r="G66" s="103">
        <f t="shared" si="32"/>
        <v>143753</v>
      </c>
      <c r="H66" s="103">
        <f t="shared" si="32"/>
        <v>96775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20">
        <f>SUM(T67:T71)</f>
        <v>319193</v>
      </c>
      <c r="U66" s="20">
        <f>SUM(U67:U71)</f>
        <v>425539</v>
      </c>
      <c r="V66" s="20">
        <f t="shared" ref="V66:Z66" si="33">SUM(V67:V71)</f>
        <v>132311</v>
      </c>
      <c r="W66" s="20">
        <f t="shared" si="33"/>
        <v>123157</v>
      </c>
      <c r="X66" s="20">
        <f t="shared" si="33"/>
        <v>192961</v>
      </c>
      <c r="Y66" s="20">
        <f t="shared" si="33"/>
        <v>64906</v>
      </c>
      <c r="Z66" s="20">
        <f t="shared" si="33"/>
        <v>324689</v>
      </c>
    </row>
    <row r="67" spans="1:67" s="28" customFormat="1" ht="15" customHeight="1" x14ac:dyDescent="0.15">
      <c r="A67" s="81"/>
      <c r="B67" s="29" t="s">
        <v>58</v>
      </c>
      <c r="C67" s="100">
        <v>0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</row>
    <row r="68" spans="1:67" s="28" customFormat="1" ht="15" customHeight="1" x14ac:dyDescent="0.15">
      <c r="A68" s="81"/>
      <c r="B68" s="29" t="s">
        <v>57</v>
      </c>
      <c r="C68" s="100">
        <v>1240</v>
      </c>
      <c r="D68" s="100">
        <v>2745</v>
      </c>
      <c r="E68" s="100">
        <v>3843</v>
      </c>
      <c r="F68" s="100">
        <v>0</v>
      </c>
      <c r="G68" s="100">
        <v>2117</v>
      </c>
      <c r="H68" s="100">
        <v>1467</v>
      </c>
      <c r="I68" s="101">
        <v>9956</v>
      </c>
      <c r="J68" s="101">
        <v>5550</v>
      </c>
      <c r="K68" s="101">
        <v>4677</v>
      </c>
      <c r="L68" s="101">
        <v>4104</v>
      </c>
      <c r="M68" s="101">
        <v>8859</v>
      </c>
      <c r="N68" s="101">
        <v>2813</v>
      </c>
      <c r="O68" s="101">
        <v>847</v>
      </c>
      <c r="P68" s="101">
        <v>7</v>
      </c>
      <c r="Q68" s="101">
        <v>0</v>
      </c>
      <c r="R68" s="101">
        <v>0</v>
      </c>
      <c r="S68" s="101">
        <v>0</v>
      </c>
      <c r="T68" s="31">
        <v>4104</v>
      </c>
      <c r="U68" s="31">
        <v>7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</row>
    <row r="69" spans="1:67" s="28" customFormat="1" ht="15" customHeight="1" x14ac:dyDescent="0.15">
      <c r="A69" s="81"/>
      <c r="B69" s="29" t="s">
        <v>54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1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</row>
    <row r="70" spans="1:67" s="28" customFormat="1" ht="15" customHeight="1" x14ac:dyDescent="0.15">
      <c r="A70" s="81"/>
      <c r="B70" s="29" t="s">
        <v>55</v>
      </c>
      <c r="C70" s="100">
        <v>0</v>
      </c>
      <c r="D70" s="100">
        <v>0</v>
      </c>
      <c r="E70" s="100">
        <v>0</v>
      </c>
      <c r="F70" s="100">
        <v>116726</v>
      </c>
      <c r="G70" s="100">
        <v>141636</v>
      </c>
      <c r="H70" s="100">
        <v>43494</v>
      </c>
      <c r="I70" s="101">
        <v>148204</v>
      </c>
      <c r="J70" s="101">
        <v>193217</v>
      </c>
      <c r="K70" s="101">
        <v>149241</v>
      </c>
      <c r="L70" s="101">
        <v>160686</v>
      </c>
      <c r="M70" s="101">
        <v>128882</v>
      </c>
      <c r="N70" s="101">
        <v>132683</v>
      </c>
      <c r="O70" s="101">
        <v>153854</v>
      </c>
      <c r="P70" s="101">
        <v>281997</v>
      </c>
      <c r="Q70" s="101">
        <v>159386</v>
      </c>
      <c r="R70" s="101">
        <v>92515</v>
      </c>
      <c r="S70" s="101">
        <v>38978</v>
      </c>
      <c r="T70" s="31">
        <v>160686</v>
      </c>
      <c r="U70" s="31">
        <v>281997</v>
      </c>
      <c r="V70" s="31">
        <v>132311</v>
      </c>
      <c r="W70" s="31">
        <v>123157</v>
      </c>
      <c r="X70" s="31">
        <v>192961</v>
      </c>
      <c r="Y70" s="31">
        <v>64906</v>
      </c>
      <c r="Z70" s="31">
        <v>324689</v>
      </c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</row>
    <row r="71" spans="1:67" s="28" customFormat="1" ht="15" customHeight="1" x14ac:dyDescent="0.15">
      <c r="A71" s="81"/>
      <c r="B71" s="29" t="s">
        <v>56</v>
      </c>
      <c r="C71" s="100">
        <v>0</v>
      </c>
      <c r="D71" s="100">
        <v>0</v>
      </c>
      <c r="E71" s="100">
        <v>0</v>
      </c>
      <c r="F71" s="100">
        <v>0</v>
      </c>
      <c r="G71" s="100">
        <v>0</v>
      </c>
      <c r="H71" s="100">
        <v>51814</v>
      </c>
      <c r="I71" s="101">
        <v>127450</v>
      </c>
      <c r="J71" s="101">
        <v>130234</v>
      </c>
      <c r="K71" s="101">
        <v>140885</v>
      </c>
      <c r="L71" s="101">
        <v>154403</v>
      </c>
      <c r="M71" s="101">
        <v>19337</v>
      </c>
      <c r="N71" s="101">
        <v>142196</v>
      </c>
      <c r="O71" s="101">
        <v>136551</v>
      </c>
      <c r="P71" s="101">
        <v>143535</v>
      </c>
      <c r="Q71" s="101">
        <v>0</v>
      </c>
      <c r="R71" s="101">
        <v>0</v>
      </c>
      <c r="S71" s="101">
        <v>28956</v>
      </c>
      <c r="T71" s="31">
        <v>154403</v>
      </c>
      <c r="U71" s="31">
        <v>143535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</row>
    <row r="72" spans="1:67" s="52" customFormat="1" ht="15" customHeight="1" x14ac:dyDescent="0.15">
      <c r="B72" s="52" t="s">
        <v>6</v>
      </c>
      <c r="C72" s="97">
        <v>7071</v>
      </c>
      <c r="D72" s="97">
        <v>15710</v>
      </c>
      <c r="E72" s="97">
        <v>27</v>
      </c>
      <c r="F72" s="97">
        <f>F73+F74+F75+F76</f>
        <v>0</v>
      </c>
      <c r="G72" s="97">
        <f t="shared" ref="G72:S72" si="34">G73+G74+G75+G76</f>
        <v>0</v>
      </c>
      <c r="H72" s="97">
        <f t="shared" si="34"/>
        <v>4526</v>
      </c>
      <c r="I72" s="102">
        <f t="shared" si="34"/>
        <v>3366</v>
      </c>
      <c r="J72" s="102">
        <f t="shared" si="34"/>
        <v>3887</v>
      </c>
      <c r="K72" s="102">
        <f t="shared" si="34"/>
        <v>2685</v>
      </c>
      <c r="L72" s="102">
        <f t="shared" si="34"/>
        <v>4649</v>
      </c>
      <c r="M72" s="102">
        <f t="shared" si="34"/>
        <v>17748</v>
      </c>
      <c r="N72" s="102">
        <f t="shared" si="34"/>
        <v>17810</v>
      </c>
      <c r="O72" s="102">
        <f t="shared" si="34"/>
        <v>19771</v>
      </c>
      <c r="P72" s="102">
        <f t="shared" si="34"/>
        <v>24193</v>
      </c>
      <c r="Q72" s="102">
        <f t="shared" si="34"/>
        <v>0</v>
      </c>
      <c r="R72" s="102">
        <f t="shared" si="34"/>
        <v>0</v>
      </c>
      <c r="S72" s="102">
        <f t="shared" si="34"/>
        <v>0</v>
      </c>
      <c r="T72" s="20">
        <f>SUM(T73:T76)</f>
        <v>4649</v>
      </c>
      <c r="U72" s="20">
        <f>SUM(U73:U76)</f>
        <v>24193</v>
      </c>
      <c r="V72" s="20">
        <f t="shared" ref="V72:Z72" si="35">SUM(V73:V76)</f>
        <v>0</v>
      </c>
      <c r="W72" s="20">
        <f t="shared" si="35"/>
        <v>0</v>
      </c>
      <c r="X72" s="20">
        <f t="shared" si="35"/>
        <v>0</v>
      </c>
      <c r="Y72" s="20">
        <f t="shared" si="35"/>
        <v>0</v>
      </c>
      <c r="Z72" s="20">
        <f t="shared" si="35"/>
        <v>0</v>
      </c>
    </row>
    <row r="73" spans="1:67" s="28" customFormat="1" ht="15" customHeight="1" x14ac:dyDescent="0.15">
      <c r="A73" s="81"/>
      <c r="B73" s="29" t="s">
        <v>28</v>
      </c>
      <c r="C73" s="100">
        <f>4410+1309</f>
        <v>5719</v>
      </c>
      <c r="D73" s="100">
        <f>15710-518-31-2351</f>
        <v>12810</v>
      </c>
      <c r="E73" s="100">
        <v>0</v>
      </c>
      <c r="F73" s="100">
        <v>0</v>
      </c>
      <c r="G73" s="100">
        <v>0</v>
      </c>
      <c r="H73" s="100">
        <v>1107</v>
      </c>
      <c r="I73" s="101">
        <v>3127</v>
      </c>
      <c r="J73" s="101">
        <v>3261</v>
      </c>
      <c r="K73" s="101">
        <v>2233</v>
      </c>
      <c r="L73" s="101">
        <v>3917</v>
      </c>
      <c r="M73" s="101">
        <v>17722</v>
      </c>
      <c r="N73" s="101">
        <v>17810</v>
      </c>
      <c r="O73" s="101">
        <v>19771</v>
      </c>
      <c r="P73" s="101">
        <v>24164</v>
      </c>
      <c r="Q73" s="101">
        <v>0</v>
      </c>
      <c r="R73" s="101">
        <v>0</v>
      </c>
      <c r="S73" s="101">
        <v>0</v>
      </c>
      <c r="T73" s="31">
        <v>3917</v>
      </c>
      <c r="U73" s="31">
        <v>24164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</row>
    <row r="74" spans="1:67" s="28" customFormat="1" ht="15" customHeight="1" x14ac:dyDescent="0.15">
      <c r="A74" s="81"/>
      <c r="B74" s="29" t="s">
        <v>29</v>
      </c>
      <c r="C74" s="100">
        <f>430+88</f>
        <v>518</v>
      </c>
      <c r="D74" s="100">
        <v>518</v>
      </c>
      <c r="E74" s="100">
        <v>0</v>
      </c>
      <c r="F74" s="100">
        <v>0</v>
      </c>
      <c r="G74" s="100">
        <v>0</v>
      </c>
      <c r="H74" s="100">
        <v>0</v>
      </c>
      <c r="I74" s="101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</row>
    <row r="75" spans="1:67" s="28" customFormat="1" ht="15" customHeight="1" x14ac:dyDescent="0.15">
      <c r="A75" s="81"/>
      <c r="B75" s="29" t="s">
        <v>30</v>
      </c>
      <c r="C75" s="100">
        <f>31+0</f>
        <v>31</v>
      </c>
      <c r="D75" s="100">
        <v>31</v>
      </c>
      <c r="E75" s="100">
        <v>0</v>
      </c>
      <c r="F75" s="100">
        <v>0</v>
      </c>
      <c r="G75" s="100">
        <v>0</v>
      </c>
      <c r="H75" s="100">
        <v>0</v>
      </c>
      <c r="I75" s="101">
        <v>0</v>
      </c>
      <c r="J75" s="101">
        <v>0</v>
      </c>
      <c r="K75" s="101">
        <v>0</v>
      </c>
      <c r="L75" s="101">
        <v>0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</row>
    <row r="76" spans="1:67" s="28" customFormat="1" ht="15" customHeight="1" x14ac:dyDescent="0.15">
      <c r="A76" s="81"/>
      <c r="B76" s="29" t="s">
        <v>31</v>
      </c>
      <c r="C76" s="100">
        <f>484+319</f>
        <v>803</v>
      </c>
      <c r="D76" s="100">
        <f>2295+56</f>
        <v>2351</v>
      </c>
      <c r="E76" s="100">
        <v>27</v>
      </c>
      <c r="F76" s="100">
        <v>0</v>
      </c>
      <c r="G76" s="100">
        <v>0</v>
      </c>
      <c r="H76" s="100">
        <v>3419</v>
      </c>
      <c r="I76" s="101">
        <v>239</v>
      </c>
      <c r="J76" s="101">
        <v>626</v>
      </c>
      <c r="K76" s="101">
        <v>452</v>
      </c>
      <c r="L76" s="101">
        <v>732</v>
      </c>
      <c r="M76" s="101">
        <v>26</v>
      </c>
      <c r="N76" s="101">
        <v>0</v>
      </c>
      <c r="O76" s="101">
        <v>0</v>
      </c>
      <c r="P76" s="101">
        <v>29</v>
      </c>
      <c r="Q76" s="101">
        <v>0</v>
      </c>
      <c r="R76" s="101">
        <v>0</v>
      </c>
      <c r="S76" s="101">
        <v>0</v>
      </c>
      <c r="T76" s="31">
        <v>732</v>
      </c>
      <c r="U76" s="31">
        <v>29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</row>
    <row r="77" spans="1:67" s="53" customFormat="1" ht="15" customHeight="1" x14ac:dyDescent="0.2">
      <c r="B77" s="105"/>
      <c r="C77" s="106"/>
      <c r="D77" s="107"/>
      <c r="E77" s="107"/>
      <c r="F77" s="107"/>
      <c r="G77" s="54"/>
      <c r="H77" s="54"/>
      <c r="T77" s="2"/>
      <c r="U77" s="2"/>
      <c r="V77" s="2"/>
      <c r="W77" s="2"/>
      <c r="X77" s="2"/>
      <c r="Y77" s="2"/>
      <c r="Z77" s="2"/>
    </row>
    <row r="78" spans="1:67" s="53" customFormat="1" x14ac:dyDescent="0.2">
      <c r="B78" s="63" t="s">
        <v>35</v>
      </c>
      <c r="C78" s="62">
        <v>6352617</v>
      </c>
      <c r="D78" s="62">
        <v>5396870</v>
      </c>
      <c r="E78" s="62">
        <v>3721890</v>
      </c>
      <c r="F78" s="64">
        <v>4124578</v>
      </c>
      <c r="G78" s="64">
        <v>1740162</v>
      </c>
      <c r="H78" s="64">
        <v>1775167</v>
      </c>
      <c r="I78" s="65">
        <v>1801580</v>
      </c>
      <c r="J78" s="65">
        <v>1806795</v>
      </c>
      <c r="K78" s="65">
        <v>1734229</v>
      </c>
      <c r="L78" s="65">
        <v>1738110</v>
      </c>
      <c r="M78" s="38">
        <v>1641448</v>
      </c>
      <c r="N78" s="38">
        <v>1654370</v>
      </c>
      <c r="O78" s="38" t="e">
        <f>O79+O80+O81+#REF!</f>
        <v>#REF!</v>
      </c>
      <c r="P78" s="38" t="e">
        <f>P79+P80+P81+#REF!</f>
        <v>#REF!</v>
      </c>
      <c r="Q78" s="38" t="e">
        <f>Q79+Q80+Q81+#REF!</f>
        <v>#REF!</v>
      </c>
      <c r="R78" s="38" t="e">
        <f>R79+R80+R81+#REF!</f>
        <v>#REF!</v>
      </c>
      <c r="S78" s="38" t="e">
        <f>S79+S80+S81+#REF!</f>
        <v>#REF!</v>
      </c>
      <c r="T78" s="7">
        <v>1738110</v>
      </c>
      <c r="U78" s="7">
        <f>SUM(U79:U83)</f>
        <v>2213399</v>
      </c>
      <c r="V78" s="7">
        <f t="shared" ref="V78:Z78" si="36">SUM(V79:V83)</f>
        <v>4616662</v>
      </c>
      <c r="W78" s="7">
        <f t="shared" si="36"/>
        <v>4188851</v>
      </c>
      <c r="X78" s="7">
        <f t="shared" si="36"/>
        <v>4086367</v>
      </c>
      <c r="Y78" s="7">
        <f t="shared" si="36"/>
        <v>2890729</v>
      </c>
      <c r="Z78" s="7">
        <f t="shared" si="36"/>
        <v>271298</v>
      </c>
    </row>
    <row r="79" spans="1:67" s="50" customFormat="1" ht="15" customHeight="1" x14ac:dyDescent="0.15">
      <c r="B79" s="25" t="s">
        <v>20</v>
      </c>
      <c r="C79" s="66" t="s">
        <v>16</v>
      </c>
      <c r="D79" s="66" t="s">
        <v>16</v>
      </c>
      <c r="E79" s="66" t="s">
        <v>16</v>
      </c>
      <c r="F79" s="67">
        <v>0</v>
      </c>
      <c r="G79" s="67">
        <v>0</v>
      </c>
      <c r="H79" s="67">
        <v>3738</v>
      </c>
      <c r="I79" s="86">
        <v>3688</v>
      </c>
      <c r="J79" s="86">
        <v>3812</v>
      </c>
      <c r="K79" s="86">
        <v>3787</v>
      </c>
      <c r="L79" s="86">
        <v>3712</v>
      </c>
      <c r="M79" s="86">
        <v>188</v>
      </c>
      <c r="N79" s="86">
        <v>156</v>
      </c>
      <c r="O79" s="86">
        <v>103</v>
      </c>
      <c r="P79" s="86">
        <v>100</v>
      </c>
      <c r="Q79" s="86">
        <v>0</v>
      </c>
      <c r="R79" s="86">
        <v>0</v>
      </c>
      <c r="S79" s="86">
        <v>0</v>
      </c>
      <c r="T79" s="20">
        <v>3712</v>
      </c>
      <c r="U79" s="20">
        <v>100</v>
      </c>
      <c r="V79" s="20">
        <v>300</v>
      </c>
      <c r="W79" s="20">
        <v>1148</v>
      </c>
      <c r="X79" s="20">
        <v>0</v>
      </c>
      <c r="Y79" s="20">
        <v>0</v>
      </c>
      <c r="Z79" s="20">
        <v>0</v>
      </c>
    </row>
    <row r="80" spans="1:67" s="50" customFormat="1" ht="15" customHeight="1" x14ac:dyDescent="0.15">
      <c r="B80" s="25" t="s">
        <v>42</v>
      </c>
      <c r="C80" s="108" t="s">
        <v>16</v>
      </c>
      <c r="D80" s="108" t="s">
        <v>16</v>
      </c>
      <c r="E80" s="108" t="s">
        <v>16</v>
      </c>
      <c r="F80" s="108" t="s">
        <v>16</v>
      </c>
      <c r="G80" s="108" t="s">
        <v>16</v>
      </c>
      <c r="H80" s="67">
        <v>0</v>
      </c>
      <c r="I80" s="86">
        <v>0</v>
      </c>
      <c r="J80" s="86">
        <v>0</v>
      </c>
      <c r="K80" s="86">
        <v>0</v>
      </c>
      <c r="L80" s="86">
        <v>0</v>
      </c>
      <c r="M80" s="86">
        <v>0</v>
      </c>
      <c r="N80" s="86">
        <v>0</v>
      </c>
      <c r="O80" s="86">
        <v>0</v>
      </c>
      <c r="P80" s="86">
        <v>0</v>
      </c>
      <c r="Q80" s="86">
        <v>0</v>
      </c>
      <c r="R80" s="86">
        <v>0</v>
      </c>
      <c r="S80" s="86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</row>
    <row r="81" spans="1:67" s="52" customFormat="1" ht="15" customHeight="1" x14ac:dyDescent="0.15">
      <c r="B81" s="25" t="s">
        <v>71</v>
      </c>
      <c r="C81" s="108" t="s">
        <v>16</v>
      </c>
      <c r="D81" s="108" t="s">
        <v>16</v>
      </c>
      <c r="E81" s="108" t="s">
        <v>16</v>
      </c>
      <c r="F81" s="108" t="s">
        <v>16</v>
      </c>
      <c r="G81" s="108" t="s">
        <v>16</v>
      </c>
      <c r="H81" s="109">
        <v>67649</v>
      </c>
      <c r="I81" s="110">
        <v>104979</v>
      </c>
      <c r="J81" s="110">
        <v>36849</v>
      </c>
      <c r="K81" s="110">
        <v>25723</v>
      </c>
      <c r="L81" s="110">
        <v>32186</v>
      </c>
      <c r="M81" s="110">
        <v>11746</v>
      </c>
      <c r="N81" s="110">
        <v>33584</v>
      </c>
      <c r="O81" s="110">
        <v>50303</v>
      </c>
      <c r="P81" s="110">
        <v>61159</v>
      </c>
      <c r="Q81" s="110">
        <v>10565</v>
      </c>
      <c r="R81" s="110">
        <v>23265</v>
      </c>
      <c r="S81" s="110">
        <v>50193</v>
      </c>
      <c r="T81" s="37">
        <v>32186</v>
      </c>
      <c r="U81" s="37">
        <v>61159</v>
      </c>
      <c r="V81" s="37">
        <v>44979</v>
      </c>
      <c r="W81" s="20">
        <v>18854</v>
      </c>
      <c r="X81" s="20">
        <v>78278</v>
      </c>
      <c r="Y81" s="20">
        <v>26162</v>
      </c>
      <c r="Z81" s="20">
        <v>271298</v>
      </c>
    </row>
    <row r="82" spans="1:67" ht="15" customHeight="1" x14ac:dyDescent="0.2">
      <c r="A82" s="1"/>
      <c r="B82" s="21" t="s">
        <v>75</v>
      </c>
      <c r="C82" s="111" t="s">
        <v>16</v>
      </c>
      <c r="D82" s="111" t="s">
        <v>16</v>
      </c>
      <c r="E82" s="111" t="s">
        <v>16</v>
      </c>
      <c r="F82" s="111" t="s">
        <v>16</v>
      </c>
      <c r="G82" s="112">
        <v>548420</v>
      </c>
      <c r="H82" s="112">
        <v>600509</v>
      </c>
      <c r="I82" s="111" t="s">
        <v>16</v>
      </c>
      <c r="J82" s="111" t="s">
        <v>16</v>
      </c>
      <c r="K82" s="111" t="s">
        <v>16</v>
      </c>
      <c r="L82" s="111" t="s">
        <v>16</v>
      </c>
      <c r="M82" s="113">
        <v>516083</v>
      </c>
      <c r="N82" s="113">
        <v>535850</v>
      </c>
      <c r="O82" s="113">
        <v>562333</v>
      </c>
      <c r="P82" s="113">
        <v>939716</v>
      </c>
      <c r="Q82" s="113">
        <v>1320651</v>
      </c>
      <c r="R82" s="113">
        <v>1683451</v>
      </c>
      <c r="S82" s="113">
        <v>1806818</v>
      </c>
      <c r="T82" s="12">
        <v>579933</v>
      </c>
      <c r="U82" s="37">
        <v>939716</v>
      </c>
      <c r="V82" s="20">
        <v>2761254</v>
      </c>
      <c r="W82" s="20">
        <v>2527279</v>
      </c>
      <c r="X82" s="20">
        <v>2410104</v>
      </c>
      <c r="Y82" s="20">
        <v>2190344</v>
      </c>
      <c r="Z82" s="20">
        <v>0</v>
      </c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ht="15" customHeight="1" x14ac:dyDescent="0.2">
      <c r="A83" s="1"/>
      <c r="B83" s="21" t="s">
        <v>76</v>
      </c>
      <c r="C83" s="111" t="s">
        <v>16</v>
      </c>
      <c r="D83" s="111" t="s">
        <v>16</v>
      </c>
      <c r="E83" s="111" t="s">
        <v>16</v>
      </c>
      <c r="F83" s="111" t="s">
        <v>16</v>
      </c>
      <c r="G83" s="112">
        <v>1191742</v>
      </c>
      <c r="H83" s="112">
        <v>1103271</v>
      </c>
      <c r="I83" s="111" t="s">
        <v>16</v>
      </c>
      <c r="J83" s="111" t="s">
        <v>16</v>
      </c>
      <c r="K83" s="111" t="s">
        <v>16</v>
      </c>
      <c r="L83" s="111" t="s">
        <v>16</v>
      </c>
      <c r="M83" s="113">
        <v>1113431</v>
      </c>
      <c r="N83" s="113">
        <v>1084780</v>
      </c>
      <c r="O83" s="113">
        <v>1084506</v>
      </c>
      <c r="P83" s="113">
        <v>1212424</v>
      </c>
      <c r="Q83" s="113">
        <v>1448342</v>
      </c>
      <c r="R83" s="113">
        <v>1549781</v>
      </c>
      <c r="S83" s="113">
        <v>1675364</v>
      </c>
      <c r="T83" s="12">
        <v>1122279</v>
      </c>
      <c r="U83" s="37">
        <v>1212424</v>
      </c>
      <c r="V83" s="20">
        <v>1810129</v>
      </c>
      <c r="W83" s="20">
        <v>1641570</v>
      </c>
      <c r="X83" s="20">
        <v>1597985</v>
      </c>
      <c r="Y83" s="20">
        <v>674223</v>
      </c>
      <c r="Z83" s="20">
        <v>0</v>
      </c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s="53" customFormat="1" ht="15" customHeight="1" x14ac:dyDescent="0.2">
      <c r="B84" s="83"/>
      <c r="C84" s="114"/>
      <c r="D84" s="115"/>
      <c r="E84" s="54"/>
      <c r="F84" s="54"/>
      <c r="G84" s="54"/>
      <c r="H84" s="54"/>
      <c r="T84" s="2"/>
      <c r="U84" s="2"/>
      <c r="V84" s="2"/>
      <c r="W84" s="20"/>
      <c r="X84" s="20"/>
      <c r="Y84" s="20"/>
      <c r="Z84" s="20"/>
    </row>
    <row r="85" spans="1:67" s="52" customFormat="1" ht="15" customHeight="1" x14ac:dyDescent="0.15">
      <c r="A85" s="99">
        <v>5</v>
      </c>
      <c r="B85" s="61" t="s">
        <v>0</v>
      </c>
      <c r="C85" s="62">
        <v>28099</v>
      </c>
      <c r="D85" s="62">
        <v>42692</v>
      </c>
      <c r="E85" s="62">
        <v>30812</v>
      </c>
      <c r="F85" s="62">
        <v>32603</v>
      </c>
      <c r="G85" s="62">
        <v>30140</v>
      </c>
      <c r="H85" s="62">
        <v>27968</v>
      </c>
      <c r="I85" s="38">
        <v>19784</v>
      </c>
      <c r="J85" s="38">
        <v>25928</v>
      </c>
      <c r="K85" s="38">
        <v>26642</v>
      </c>
      <c r="L85" s="38">
        <v>26193</v>
      </c>
      <c r="M85" s="38">
        <v>26753</v>
      </c>
      <c r="N85" s="38">
        <v>27152</v>
      </c>
      <c r="O85" s="38">
        <v>8248</v>
      </c>
      <c r="P85" s="38">
        <v>8107</v>
      </c>
      <c r="Q85" s="38">
        <v>7445</v>
      </c>
      <c r="R85" s="38">
        <v>4775</v>
      </c>
      <c r="S85" s="38">
        <v>4388</v>
      </c>
      <c r="T85" s="7">
        <v>26193</v>
      </c>
      <c r="U85" s="7">
        <v>8107</v>
      </c>
      <c r="V85" s="7">
        <v>3957</v>
      </c>
      <c r="W85" s="7">
        <v>12009</v>
      </c>
      <c r="X85" s="7">
        <v>15838</v>
      </c>
      <c r="Y85" s="7">
        <v>17203</v>
      </c>
      <c r="Z85" s="7">
        <v>14574</v>
      </c>
    </row>
    <row r="86" spans="1:67" s="52" customFormat="1" ht="15" customHeight="1" x14ac:dyDescent="0.15">
      <c r="A86" s="99">
        <v>6</v>
      </c>
      <c r="B86" s="61" t="s">
        <v>91</v>
      </c>
      <c r="C86" s="62">
        <v>428428</v>
      </c>
      <c r="D86" s="62">
        <v>2578378</v>
      </c>
      <c r="E86" s="62">
        <v>752244</v>
      </c>
      <c r="F86" s="62">
        <v>990920</v>
      </c>
      <c r="G86" s="62">
        <v>355439</v>
      </c>
      <c r="H86" s="62">
        <v>333470</v>
      </c>
      <c r="I86" s="38">
        <v>293399</v>
      </c>
      <c r="J86" s="38">
        <v>213335</v>
      </c>
      <c r="K86" s="38">
        <v>224927</v>
      </c>
      <c r="L86" s="38">
        <v>265858</v>
      </c>
      <c r="M86" s="38">
        <v>160244</v>
      </c>
      <c r="N86" s="38">
        <v>195459</v>
      </c>
      <c r="O86" s="38">
        <v>414092</v>
      </c>
      <c r="P86" s="38">
        <v>349883</v>
      </c>
      <c r="Q86" s="38">
        <v>316197</v>
      </c>
      <c r="R86" s="38">
        <v>265345</v>
      </c>
      <c r="S86" s="38">
        <v>231857</v>
      </c>
      <c r="T86" s="7">
        <v>265858</v>
      </c>
      <c r="U86" s="7">
        <v>349883</v>
      </c>
      <c r="V86" s="7">
        <v>225004</v>
      </c>
      <c r="W86" s="7">
        <v>140334</v>
      </c>
      <c r="X86" s="7">
        <v>136716</v>
      </c>
      <c r="Y86" s="7">
        <v>128634</v>
      </c>
      <c r="Z86" s="7">
        <v>108645</v>
      </c>
    </row>
    <row r="87" spans="1:67" s="52" customFormat="1" ht="15" customHeight="1" x14ac:dyDescent="0.15">
      <c r="A87" s="99">
        <v>7</v>
      </c>
      <c r="B87" s="61" t="s">
        <v>1</v>
      </c>
      <c r="C87" s="62">
        <f>C7+C8+C53+C21+C85+C86</f>
        <v>195173268</v>
      </c>
      <c r="D87" s="62">
        <f>D7+D8+D53+D21+D85+D86</f>
        <v>232805283</v>
      </c>
      <c r="E87" s="62">
        <f>E7+E8+E53+E21+E85+E86</f>
        <v>235908768</v>
      </c>
      <c r="F87" s="62">
        <f t="shared" ref="F87:S87" si="37">F7+F8+F21+F38+F53+F85+F86</f>
        <v>248325900</v>
      </c>
      <c r="G87" s="62">
        <f t="shared" si="37"/>
        <v>9392941</v>
      </c>
      <c r="H87" s="62">
        <f t="shared" si="37"/>
        <v>9024233</v>
      </c>
      <c r="I87" s="38">
        <f t="shared" si="37"/>
        <v>8339083</v>
      </c>
      <c r="J87" s="38">
        <f t="shared" si="37"/>
        <v>7906094</v>
      </c>
      <c r="K87" s="38">
        <f t="shared" si="37"/>
        <v>7634501</v>
      </c>
      <c r="L87" s="38">
        <f t="shared" si="37"/>
        <v>7711057</v>
      </c>
      <c r="M87" s="38">
        <f t="shared" si="37"/>
        <v>8217447</v>
      </c>
      <c r="N87" s="38">
        <f t="shared" si="37"/>
        <v>8084758</v>
      </c>
      <c r="O87" s="38" t="e">
        <f t="shared" si="37"/>
        <v>#REF!</v>
      </c>
      <c r="P87" s="38" t="e">
        <f t="shared" si="37"/>
        <v>#REF!</v>
      </c>
      <c r="Q87" s="38" t="e">
        <f t="shared" si="37"/>
        <v>#REF!</v>
      </c>
      <c r="R87" s="38" t="e">
        <f t="shared" si="37"/>
        <v>#REF!</v>
      </c>
      <c r="S87" s="38" t="e">
        <f t="shared" si="37"/>
        <v>#REF!</v>
      </c>
      <c r="T87" s="38">
        <f>T7+T8+T21+T38+T53+T85+T86</f>
        <v>7711057</v>
      </c>
      <c r="U87" s="38">
        <f>U7+U8+U21+U38+U53+U85+U86</f>
        <v>8379623</v>
      </c>
      <c r="V87" s="38">
        <f>V7+V8+V21+V38+V53+V85+V86</f>
        <v>9084904</v>
      </c>
      <c r="W87" s="38">
        <f t="shared" ref="W87:X87" si="38">W7+W8+W21+W38+W53+W85+W86</f>
        <v>8458504</v>
      </c>
      <c r="X87" s="38">
        <f t="shared" si="38"/>
        <v>8593448</v>
      </c>
      <c r="Y87" s="38">
        <f t="shared" ref="Y87:Z87" si="39">Y5+Y6+Y19+Y36+Y53+Y85+Y86</f>
        <v>3109334</v>
      </c>
      <c r="Z87" s="38">
        <f t="shared" si="39"/>
        <v>791713</v>
      </c>
    </row>
    <row r="88" spans="1:67" s="53" customFormat="1" ht="15" customHeight="1" thickBot="1" x14ac:dyDescent="0.25">
      <c r="B88" s="116"/>
      <c r="C88" s="115"/>
      <c r="D88" s="115"/>
      <c r="E88" s="115"/>
      <c r="F88" s="115"/>
      <c r="G88" s="54"/>
      <c r="H88" s="54"/>
      <c r="T88" s="23"/>
      <c r="W88" s="23"/>
      <c r="X88" s="23"/>
      <c r="Y88" s="23"/>
      <c r="Z88" s="23"/>
    </row>
    <row r="89" spans="1:67" ht="15.95" customHeight="1" thickBot="1" x14ac:dyDescent="0.25">
      <c r="B89" s="152" t="s">
        <v>37</v>
      </c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40"/>
      <c r="N89" s="140"/>
      <c r="O89" s="140"/>
      <c r="P89" s="140"/>
      <c r="Q89" s="140"/>
      <c r="R89" s="140"/>
      <c r="S89" s="140"/>
      <c r="T89" s="138"/>
      <c r="U89" s="137"/>
      <c r="V89" s="137"/>
      <c r="W89" s="137"/>
      <c r="X89" s="137"/>
      <c r="Y89" s="137"/>
      <c r="Z89" s="55"/>
    </row>
    <row r="90" spans="1:67" s="53" customFormat="1" ht="12" customHeight="1" x14ac:dyDescent="0.2">
      <c r="B90" s="117"/>
      <c r="C90" s="118"/>
      <c r="D90" s="118"/>
      <c r="E90" s="118"/>
      <c r="F90" s="118"/>
      <c r="G90" s="54"/>
      <c r="H90" s="54"/>
      <c r="T90" s="2"/>
      <c r="V90" s="23"/>
      <c r="W90" s="2"/>
      <c r="X90" s="2"/>
      <c r="Y90" s="2"/>
      <c r="Z90" s="2"/>
    </row>
    <row r="91" spans="1:67" s="2" customFormat="1" ht="18.95" customHeight="1" x14ac:dyDescent="0.15">
      <c r="A91" s="52"/>
      <c r="B91" s="42" t="s">
        <v>23</v>
      </c>
      <c r="C91" s="148">
        <v>2007</v>
      </c>
      <c r="D91" s="148">
        <v>2008</v>
      </c>
      <c r="E91" s="148">
        <v>2009</v>
      </c>
      <c r="F91" s="148">
        <v>2010</v>
      </c>
      <c r="G91" s="148">
        <v>2011</v>
      </c>
      <c r="H91" s="148">
        <v>2012</v>
      </c>
      <c r="I91" s="148" t="s">
        <v>38</v>
      </c>
      <c r="J91" s="148" t="s">
        <v>39</v>
      </c>
      <c r="K91" s="148" t="s">
        <v>59</v>
      </c>
      <c r="L91" s="148">
        <v>2013</v>
      </c>
      <c r="M91" s="148" t="s">
        <v>62</v>
      </c>
      <c r="N91" s="148" t="s">
        <v>63</v>
      </c>
      <c r="O91" s="148" t="s">
        <v>64</v>
      </c>
      <c r="P91" s="148" t="s">
        <v>65</v>
      </c>
      <c r="Q91" s="148" t="s">
        <v>68</v>
      </c>
      <c r="R91" s="148" t="s">
        <v>69</v>
      </c>
      <c r="S91" s="148" t="s">
        <v>70</v>
      </c>
      <c r="T91" s="148">
        <v>2013</v>
      </c>
      <c r="U91" s="148">
        <v>2014</v>
      </c>
      <c r="V91" s="148">
        <v>2015</v>
      </c>
      <c r="W91" s="148">
        <v>2016</v>
      </c>
      <c r="X91" s="148">
        <v>2017</v>
      </c>
      <c r="Y91" s="148">
        <v>2018</v>
      </c>
      <c r="Z91" s="149">
        <v>2019</v>
      </c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</row>
    <row r="92" spans="1:67" s="52" customFormat="1" ht="15.95" customHeight="1" x14ac:dyDescent="0.15">
      <c r="B92" s="61" t="s">
        <v>2</v>
      </c>
      <c r="C92" s="62">
        <v>7427218</v>
      </c>
      <c r="D92" s="62">
        <v>5728004</v>
      </c>
      <c r="E92" s="62">
        <v>10367833</v>
      </c>
      <c r="F92" s="62">
        <v>10018704</v>
      </c>
      <c r="G92" s="62">
        <v>5777504</v>
      </c>
      <c r="H92" s="62">
        <v>5461981</v>
      </c>
      <c r="I92" s="62">
        <v>4828992</v>
      </c>
      <c r="J92" s="62">
        <v>4311683</v>
      </c>
      <c r="K92" s="62">
        <v>4225685</v>
      </c>
      <c r="L92" s="62">
        <v>4123561</v>
      </c>
      <c r="M92" s="62">
        <v>4801208</v>
      </c>
      <c r="N92" s="62">
        <v>4768567</v>
      </c>
      <c r="O92" s="62">
        <v>3968068</v>
      </c>
      <c r="P92" s="62">
        <v>4370217</v>
      </c>
      <c r="Q92" s="62">
        <v>4173807</v>
      </c>
      <c r="R92" s="62">
        <v>4864417</v>
      </c>
      <c r="S92" s="62">
        <v>3935308</v>
      </c>
      <c r="T92" s="62">
        <f>+T96+T106+T116</f>
        <v>4123561</v>
      </c>
      <c r="U92" s="62">
        <f>+U96+U106+U116</f>
        <v>4370217</v>
      </c>
      <c r="V92" s="62">
        <f t="shared" ref="V92:Z92" si="40">+V96+V106+V116</f>
        <v>3527647</v>
      </c>
      <c r="W92" s="62">
        <f t="shared" si="40"/>
        <v>3277736</v>
      </c>
      <c r="X92" s="62">
        <f t="shared" si="40"/>
        <v>3347375</v>
      </c>
      <c r="Y92" s="62">
        <f t="shared" si="40"/>
        <v>2667935</v>
      </c>
      <c r="Z92" s="62">
        <f t="shared" si="40"/>
        <v>3014572</v>
      </c>
    </row>
    <row r="93" spans="1:67" s="52" customFormat="1" ht="15.95" customHeight="1" x14ac:dyDescent="0.15">
      <c r="B93" s="61" t="s">
        <v>3</v>
      </c>
      <c r="C93" s="62">
        <v>216926904</v>
      </c>
      <c r="D93" s="62">
        <v>260316134</v>
      </c>
      <c r="E93" s="62">
        <v>261723569</v>
      </c>
      <c r="F93" s="62">
        <v>274335747</v>
      </c>
      <c r="G93" s="62">
        <v>1862212</v>
      </c>
      <c r="H93" s="62">
        <v>1848067</v>
      </c>
      <c r="I93" s="38">
        <v>1888742</v>
      </c>
      <c r="J93" s="38">
        <v>2069886</v>
      </c>
      <c r="K93" s="38">
        <v>1944986</v>
      </c>
      <c r="L93" s="38">
        <v>1817471</v>
      </c>
      <c r="M93" s="38">
        <v>1884864</v>
      </c>
      <c r="N93" s="38">
        <v>1771890</v>
      </c>
      <c r="O93" s="38">
        <v>1911190</v>
      </c>
      <c r="P93" s="38">
        <v>2130629</v>
      </c>
      <c r="Q93" s="38">
        <v>1955180</v>
      </c>
      <c r="R93" s="38">
        <v>1734309</v>
      </c>
      <c r="S93" s="38">
        <v>1860522</v>
      </c>
      <c r="T93" s="7">
        <v>1817471</v>
      </c>
      <c r="U93" s="7">
        <v>2130629</v>
      </c>
      <c r="V93" s="7">
        <v>2741871</v>
      </c>
      <c r="W93" s="7">
        <f t="shared" ref="W93:Z93" si="41">+W126</f>
        <v>2494882</v>
      </c>
      <c r="X93" s="7">
        <f t="shared" si="41"/>
        <v>2529605</v>
      </c>
      <c r="Y93" s="7">
        <f t="shared" si="41"/>
        <v>2156224</v>
      </c>
      <c r="Z93" s="7">
        <f t="shared" si="41"/>
        <v>554995</v>
      </c>
    </row>
    <row r="94" spans="1:67" s="52" customFormat="1" ht="15.95" customHeight="1" x14ac:dyDescent="0.15">
      <c r="B94" s="61" t="s">
        <v>13</v>
      </c>
      <c r="C94" s="62">
        <f>SUM(C92:C93)</f>
        <v>224354122</v>
      </c>
      <c r="D94" s="62">
        <f>SUM(D92:D93)</f>
        <v>266044138</v>
      </c>
      <c r="E94" s="62">
        <f t="shared" ref="E94:S94" si="42">SUM(E92:E93)</f>
        <v>272091402</v>
      </c>
      <c r="F94" s="62">
        <f t="shared" si="42"/>
        <v>284354451</v>
      </c>
      <c r="G94" s="62">
        <f t="shared" si="42"/>
        <v>7639716</v>
      </c>
      <c r="H94" s="62">
        <f t="shared" si="42"/>
        <v>7310048</v>
      </c>
      <c r="I94" s="38">
        <f t="shared" si="42"/>
        <v>6717734</v>
      </c>
      <c r="J94" s="38">
        <f t="shared" si="42"/>
        <v>6381569</v>
      </c>
      <c r="K94" s="38">
        <f t="shared" si="42"/>
        <v>6170671</v>
      </c>
      <c r="L94" s="38">
        <f t="shared" si="42"/>
        <v>5941032</v>
      </c>
      <c r="M94" s="38">
        <f t="shared" si="42"/>
        <v>6686072</v>
      </c>
      <c r="N94" s="38">
        <f t="shared" si="42"/>
        <v>6540457</v>
      </c>
      <c r="O94" s="38">
        <f t="shared" si="42"/>
        <v>5879258</v>
      </c>
      <c r="P94" s="38">
        <f t="shared" si="42"/>
        <v>6500846</v>
      </c>
      <c r="Q94" s="38">
        <f t="shared" si="42"/>
        <v>6128987</v>
      </c>
      <c r="R94" s="38">
        <f t="shared" si="42"/>
        <v>6598726</v>
      </c>
      <c r="S94" s="38">
        <f t="shared" si="42"/>
        <v>5795830</v>
      </c>
      <c r="T94" s="7">
        <f>SUM(T92:T93)</f>
        <v>5941032</v>
      </c>
      <c r="U94" s="7">
        <f>SUM(U92:U93)</f>
        <v>6500846</v>
      </c>
      <c r="V94" s="7">
        <f>SUM(V92:V93)</f>
        <v>6269518</v>
      </c>
      <c r="W94" s="7">
        <f t="shared" ref="W94" si="43">SUM(W92:W93)</f>
        <v>5772618</v>
      </c>
      <c r="X94" s="7">
        <f t="shared" ref="X94" si="44">SUM(X92:X93)</f>
        <v>5876980</v>
      </c>
      <c r="Y94" s="7">
        <f t="shared" ref="Y94" si="45">SUM(Y92:Y93)</f>
        <v>4824159</v>
      </c>
      <c r="Z94" s="7">
        <f t="shared" ref="Z94" si="46">SUM(Z92:Z93)</f>
        <v>3569567</v>
      </c>
    </row>
    <row r="95" spans="1:67" s="53" customFormat="1" ht="12" customHeight="1" x14ac:dyDescent="0.2">
      <c r="B95" s="119"/>
      <c r="C95" s="115"/>
      <c r="D95" s="115"/>
      <c r="E95" s="115"/>
      <c r="F95" s="115"/>
      <c r="G95" s="54"/>
      <c r="H95" s="54"/>
      <c r="T95" s="2"/>
      <c r="U95" s="2"/>
      <c r="V95" s="2"/>
      <c r="W95" s="2"/>
      <c r="X95" s="2"/>
      <c r="Y95" s="2"/>
      <c r="Z95" s="2"/>
    </row>
    <row r="96" spans="1:67" s="52" customFormat="1" ht="11.25" x14ac:dyDescent="0.15">
      <c r="A96" s="99">
        <v>8</v>
      </c>
      <c r="B96" s="120" t="s">
        <v>10</v>
      </c>
      <c r="C96" s="62">
        <v>38121</v>
      </c>
      <c r="D96" s="62">
        <v>53704</v>
      </c>
      <c r="E96" s="62">
        <v>384856</v>
      </c>
      <c r="F96" s="62">
        <v>1608408</v>
      </c>
      <c r="G96" s="121">
        <v>1841905</v>
      </c>
      <c r="H96" s="121">
        <v>1641017</v>
      </c>
      <c r="I96" s="122">
        <v>1312638</v>
      </c>
      <c r="J96" s="122">
        <v>1351057</v>
      </c>
      <c r="K96" s="122">
        <v>1358526</v>
      </c>
      <c r="L96" s="122">
        <v>1301854</v>
      </c>
      <c r="M96" s="122">
        <v>1303228</v>
      </c>
      <c r="N96" s="122">
        <v>1345221</v>
      </c>
      <c r="O96" s="122">
        <v>1392971</v>
      </c>
      <c r="P96" s="122">
        <v>1224733</v>
      </c>
      <c r="Q96" s="122">
        <v>1169897</v>
      </c>
      <c r="R96" s="122">
        <v>878289</v>
      </c>
      <c r="S96" s="122">
        <v>973912</v>
      </c>
      <c r="T96" s="7">
        <v>1301854</v>
      </c>
      <c r="U96" s="7">
        <v>1224733</v>
      </c>
      <c r="V96" s="7">
        <v>1074126</v>
      </c>
      <c r="W96" s="7">
        <f t="shared" ref="W96" si="47">SUM(W97:W104)</f>
        <v>998959</v>
      </c>
      <c r="X96" s="7">
        <f>SUM(X97:X104)</f>
        <v>879514</v>
      </c>
      <c r="Y96" s="7">
        <f t="shared" ref="Y96:Z96" si="48">SUM(Y97:Y104)</f>
        <v>234869</v>
      </c>
      <c r="Z96" s="7">
        <f t="shared" si="48"/>
        <v>186674</v>
      </c>
    </row>
    <row r="97" spans="1:26" s="50" customFormat="1" ht="15" customHeight="1" x14ac:dyDescent="0.15">
      <c r="A97" s="123"/>
      <c r="B97" s="50" t="s">
        <v>4</v>
      </c>
      <c r="C97" s="67">
        <v>0</v>
      </c>
      <c r="D97" s="67">
        <v>0</v>
      </c>
      <c r="E97" s="67">
        <v>0</v>
      </c>
      <c r="F97" s="67">
        <v>0</v>
      </c>
      <c r="G97" s="67">
        <v>0</v>
      </c>
      <c r="H97" s="68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</row>
    <row r="98" spans="1:26" s="50" customFormat="1" ht="15" customHeight="1" x14ac:dyDescent="0.15">
      <c r="A98" s="123"/>
      <c r="B98" s="50" t="s">
        <v>5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8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</row>
    <row r="99" spans="1:26" s="50" customFormat="1" ht="15" customHeight="1" x14ac:dyDescent="0.15">
      <c r="A99" s="123"/>
      <c r="B99" s="50" t="s">
        <v>25</v>
      </c>
      <c r="C99" s="67">
        <v>251</v>
      </c>
      <c r="D99" s="67">
        <v>6411</v>
      </c>
      <c r="E99" s="67">
        <v>10077</v>
      </c>
      <c r="F99" s="67">
        <v>14649</v>
      </c>
      <c r="G99" s="67">
        <v>52407</v>
      </c>
      <c r="H99" s="67">
        <v>73559</v>
      </c>
      <c r="I99" s="67">
        <v>92591</v>
      </c>
      <c r="J99" s="67">
        <v>120783</v>
      </c>
      <c r="K99" s="67">
        <v>116534</v>
      </c>
      <c r="L99" s="67">
        <v>106394</v>
      </c>
      <c r="M99" s="67">
        <v>128621</v>
      </c>
      <c r="N99" s="67">
        <v>156791</v>
      </c>
      <c r="O99" s="67">
        <v>156207</v>
      </c>
      <c r="P99" s="67">
        <v>204485</v>
      </c>
      <c r="Q99" s="67">
        <v>0</v>
      </c>
      <c r="R99" s="67">
        <v>0</v>
      </c>
      <c r="S99" s="67">
        <v>0</v>
      </c>
      <c r="T99" s="46">
        <v>106394</v>
      </c>
      <c r="U99" s="46">
        <v>204485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</row>
    <row r="100" spans="1:26" s="50" customFormat="1" ht="15" customHeight="1" x14ac:dyDescent="0.15">
      <c r="A100" s="123"/>
      <c r="B100" s="50" t="s">
        <v>15</v>
      </c>
      <c r="C100" s="68" t="s">
        <v>16</v>
      </c>
      <c r="D100" s="68" t="s">
        <v>16</v>
      </c>
      <c r="E100" s="68" t="s">
        <v>16</v>
      </c>
      <c r="F100" s="67">
        <v>0</v>
      </c>
      <c r="G100" s="67">
        <v>0</v>
      </c>
      <c r="H100" s="68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</row>
    <row r="101" spans="1:26" s="50" customFormat="1" ht="15" customHeight="1" x14ac:dyDescent="0.15">
      <c r="A101" s="123"/>
      <c r="B101" s="50" t="s">
        <v>32</v>
      </c>
      <c r="C101" s="67">
        <v>0</v>
      </c>
      <c r="D101" s="67">
        <v>12</v>
      </c>
      <c r="E101" s="67">
        <v>0</v>
      </c>
      <c r="F101" s="67">
        <v>0</v>
      </c>
      <c r="G101" s="67">
        <v>0</v>
      </c>
      <c r="H101" s="68">
        <v>68</v>
      </c>
      <c r="I101" s="50">
        <v>129</v>
      </c>
      <c r="J101" s="50">
        <v>10</v>
      </c>
      <c r="K101" s="50">
        <v>8</v>
      </c>
      <c r="L101" s="50">
        <v>39</v>
      </c>
      <c r="M101" s="50">
        <v>174</v>
      </c>
      <c r="N101" s="50">
        <v>4</v>
      </c>
      <c r="O101" s="50">
        <v>49</v>
      </c>
      <c r="P101" s="50">
        <v>14</v>
      </c>
      <c r="Q101" s="50">
        <v>0</v>
      </c>
      <c r="R101" s="50">
        <v>0</v>
      </c>
      <c r="S101" s="50">
        <v>0</v>
      </c>
      <c r="T101" s="2">
        <v>39</v>
      </c>
      <c r="U101" s="2">
        <v>14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</row>
    <row r="102" spans="1:26" s="50" customFormat="1" ht="15" customHeight="1" x14ac:dyDescent="0.15">
      <c r="A102" s="123"/>
      <c r="B102" s="50" t="s">
        <v>50</v>
      </c>
      <c r="C102" s="67">
        <v>19</v>
      </c>
      <c r="D102" s="67">
        <v>0</v>
      </c>
      <c r="E102" s="67">
        <v>4514</v>
      </c>
      <c r="F102" s="67">
        <v>6023</v>
      </c>
      <c r="G102" s="67">
        <v>5829</v>
      </c>
      <c r="H102" s="68">
        <v>318</v>
      </c>
      <c r="I102" s="50">
        <v>320</v>
      </c>
      <c r="J102" s="67">
        <v>1423</v>
      </c>
      <c r="K102" s="67">
        <v>1363</v>
      </c>
      <c r="L102" s="67">
        <v>1098</v>
      </c>
      <c r="M102" s="67">
        <f>162+426+1113</f>
        <v>1701</v>
      </c>
      <c r="N102" s="67">
        <v>763</v>
      </c>
      <c r="O102" s="67">
        <v>2926</v>
      </c>
      <c r="P102" s="67">
        <v>2559</v>
      </c>
      <c r="Q102" s="67">
        <v>0</v>
      </c>
      <c r="R102" s="67">
        <v>0</v>
      </c>
      <c r="S102" s="67">
        <v>0</v>
      </c>
      <c r="T102" s="46">
        <v>1098</v>
      </c>
      <c r="U102" s="46">
        <v>2559</v>
      </c>
      <c r="V102" s="46">
        <v>0</v>
      </c>
      <c r="W102" s="46">
        <v>0</v>
      </c>
      <c r="X102" s="46">
        <v>148</v>
      </c>
      <c r="Y102" s="46">
        <v>323</v>
      </c>
      <c r="Z102" s="46">
        <v>364</v>
      </c>
    </row>
    <row r="103" spans="1:26" s="50" customFormat="1" ht="15" customHeight="1" x14ac:dyDescent="0.15">
      <c r="A103" s="123"/>
      <c r="B103" s="25" t="s">
        <v>71</v>
      </c>
      <c r="C103" s="67">
        <f>37708</f>
        <v>37708</v>
      </c>
      <c r="D103" s="67">
        <v>45533</v>
      </c>
      <c r="E103" s="67">
        <f>368255</f>
        <v>368255</v>
      </c>
      <c r="F103" s="67">
        <f>1580077</f>
        <v>1580077</v>
      </c>
      <c r="G103" s="67">
        <f>1772128</f>
        <v>1772128</v>
      </c>
      <c r="H103" s="67">
        <f>1558687</f>
        <v>1558687</v>
      </c>
      <c r="I103" s="67">
        <f>1202386</f>
        <v>1202386</v>
      </c>
      <c r="J103" s="67">
        <f>1222484</f>
        <v>1222484</v>
      </c>
      <c r="K103" s="67">
        <v>1234796</v>
      </c>
      <c r="L103" s="67">
        <v>1187024</v>
      </c>
      <c r="M103" s="67">
        <f>1156677-1701</f>
        <v>1154976</v>
      </c>
      <c r="N103" s="67">
        <v>1177401</v>
      </c>
      <c r="O103" s="67">
        <v>1223786</v>
      </c>
      <c r="P103" s="67">
        <v>1003623</v>
      </c>
      <c r="Q103" s="67">
        <v>1159292</v>
      </c>
      <c r="R103" s="67">
        <v>868111</v>
      </c>
      <c r="S103" s="67">
        <v>965652</v>
      </c>
      <c r="T103" s="46">
        <v>1187024</v>
      </c>
      <c r="U103" s="46">
        <v>1003623</v>
      </c>
      <c r="V103" s="46">
        <v>1064117</v>
      </c>
      <c r="W103" s="46">
        <v>994064</v>
      </c>
      <c r="X103" s="46">
        <v>876313</v>
      </c>
      <c r="Y103" s="46">
        <v>234546</v>
      </c>
      <c r="Z103" s="46">
        <v>186310</v>
      </c>
    </row>
    <row r="104" spans="1:26" s="50" customFormat="1" ht="15" customHeight="1" x14ac:dyDescent="0.15">
      <c r="A104" s="123"/>
      <c r="B104" s="10" t="s">
        <v>89</v>
      </c>
      <c r="C104" s="67">
        <v>143</v>
      </c>
      <c r="D104" s="67">
        <v>1748</v>
      </c>
      <c r="E104" s="67">
        <v>2010</v>
      </c>
      <c r="F104" s="67">
        <v>7659</v>
      </c>
      <c r="G104" s="67">
        <v>11541</v>
      </c>
      <c r="H104" s="67">
        <v>8385</v>
      </c>
      <c r="I104" s="67">
        <v>17212</v>
      </c>
      <c r="J104" s="67">
        <v>6357</v>
      </c>
      <c r="K104" s="67">
        <v>5827</v>
      </c>
      <c r="L104" s="67">
        <v>7299</v>
      </c>
      <c r="M104" s="67">
        <v>17756</v>
      </c>
      <c r="N104" s="67">
        <v>10262</v>
      </c>
      <c r="O104" s="67">
        <v>10003</v>
      </c>
      <c r="P104" s="67">
        <v>14052</v>
      </c>
      <c r="Q104" s="67">
        <v>10605</v>
      </c>
      <c r="R104" s="67">
        <v>10178</v>
      </c>
      <c r="S104" s="67">
        <v>8260</v>
      </c>
      <c r="T104" s="46">
        <v>7299</v>
      </c>
      <c r="U104" s="46">
        <v>14052</v>
      </c>
      <c r="V104" s="46">
        <v>10009</v>
      </c>
      <c r="W104" s="46">
        <v>4895</v>
      </c>
      <c r="X104" s="46">
        <v>3053</v>
      </c>
      <c r="Y104" s="46">
        <v>0</v>
      </c>
      <c r="Z104" s="46">
        <v>0</v>
      </c>
    </row>
    <row r="105" spans="1:26" s="53" customFormat="1" ht="12" customHeight="1" x14ac:dyDescent="0.2">
      <c r="A105" s="51"/>
      <c r="C105" s="106"/>
      <c r="D105" s="54"/>
      <c r="E105" s="54"/>
      <c r="F105" s="54"/>
      <c r="G105" s="54"/>
      <c r="H105" s="54"/>
      <c r="T105" s="2"/>
      <c r="U105" s="2"/>
      <c r="V105" s="2"/>
      <c r="W105" s="2"/>
      <c r="X105" s="2"/>
      <c r="Y105" s="2"/>
      <c r="Z105" s="2"/>
    </row>
    <row r="106" spans="1:26" s="52" customFormat="1" ht="15" customHeight="1" x14ac:dyDescent="0.15">
      <c r="A106" s="99">
        <v>9</v>
      </c>
      <c r="B106" s="120" t="s">
        <v>11</v>
      </c>
      <c r="C106" s="62">
        <v>5856141</v>
      </c>
      <c r="D106" s="62">
        <v>4453770</v>
      </c>
      <c r="E106" s="62">
        <v>6562612</v>
      </c>
      <c r="F106" s="62">
        <v>4770856</v>
      </c>
      <c r="G106" s="62">
        <v>3144881</v>
      </c>
      <c r="H106" s="62">
        <v>3342725</v>
      </c>
      <c r="I106" s="38">
        <v>3029647</v>
      </c>
      <c r="J106" s="38">
        <v>2544756</v>
      </c>
      <c r="K106" s="38">
        <v>2449084</v>
      </c>
      <c r="L106" s="38">
        <v>2468076</v>
      </c>
      <c r="M106" s="38">
        <v>3114358</v>
      </c>
      <c r="N106" s="38">
        <v>3051184</v>
      </c>
      <c r="O106" s="38">
        <v>2198046</v>
      </c>
      <c r="P106" s="38">
        <v>2793525</v>
      </c>
      <c r="Q106" s="38">
        <v>2581113</v>
      </c>
      <c r="R106" s="38">
        <v>3597837</v>
      </c>
      <c r="S106" s="38">
        <v>2616143</v>
      </c>
      <c r="T106" s="7">
        <v>2468076</v>
      </c>
      <c r="U106" s="7">
        <v>2793525</v>
      </c>
      <c r="V106" s="7">
        <v>2040876</v>
      </c>
      <c r="W106" s="7">
        <f t="shared" ref="W106:Z106" si="49">SUM(W107:W114)</f>
        <v>1988866</v>
      </c>
      <c r="X106" s="7">
        <f t="shared" si="49"/>
        <v>2044032</v>
      </c>
      <c r="Y106" s="7">
        <f t="shared" si="49"/>
        <v>2314134</v>
      </c>
      <c r="Z106" s="7">
        <f t="shared" si="49"/>
        <v>2663431</v>
      </c>
    </row>
    <row r="107" spans="1:26" s="50" customFormat="1" ht="15" customHeight="1" x14ac:dyDescent="0.15">
      <c r="A107" s="123"/>
      <c r="B107" s="50" t="s">
        <v>4</v>
      </c>
      <c r="C107" s="67">
        <v>0</v>
      </c>
      <c r="D107" s="67">
        <v>0</v>
      </c>
      <c r="E107" s="67">
        <v>0</v>
      </c>
      <c r="F107" s="67">
        <v>0</v>
      </c>
      <c r="G107" s="67">
        <v>0</v>
      </c>
      <c r="H107" s="68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</row>
    <row r="108" spans="1:26" s="50" customFormat="1" ht="15" customHeight="1" x14ac:dyDescent="0.15">
      <c r="A108" s="123"/>
      <c r="B108" s="50" t="s">
        <v>5</v>
      </c>
      <c r="C108" s="67">
        <v>0</v>
      </c>
      <c r="D108" s="67">
        <v>0</v>
      </c>
      <c r="E108" s="67">
        <v>0</v>
      </c>
      <c r="F108" s="67">
        <v>0</v>
      </c>
      <c r="G108" s="67">
        <v>0</v>
      </c>
      <c r="H108" s="68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</row>
    <row r="109" spans="1:26" s="50" customFormat="1" ht="15" customHeight="1" x14ac:dyDescent="0.15">
      <c r="A109" s="123"/>
      <c r="B109" s="50" t="s">
        <v>18</v>
      </c>
      <c r="C109" s="67">
        <v>2371</v>
      </c>
      <c r="D109" s="67">
        <v>100427</v>
      </c>
      <c r="E109" s="67">
        <v>0</v>
      </c>
      <c r="F109" s="67">
        <v>0</v>
      </c>
      <c r="G109" s="67">
        <v>0</v>
      </c>
      <c r="H109" s="68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s="50" customFormat="1" ht="15" customHeight="1" x14ac:dyDescent="0.15">
      <c r="A110" s="123"/>
      <c r="B110" s="50" t="s">
        <v>15</v>
      </c>
      <c r="C110" s="68" t="s">
        <v>16</v>
      </c>
      <c r="D110" s="68" t="s">
        <v>16</v>
      </c>
      <c r="E110" s="68" t="s">
        <v>16</v>
      </c>
      <c r="F110" s="67">
        <v>0</v>
      </c>
      <c r="G110" s="67">
        <v>0</v>
      </c>
      <c r="H110" s="68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</row>
    <row r="111" spans="1:26" s="50" customFormat="1" ht="15" customHeight="1" x14ac:dyDescent="0.15">
      <c r="A111" s="123"/>
      <c r="B111" s="50" t="s">
        <v>32</v>
      </c>
      <c r="C111" s="67">
        <v>0</v>
      </c>
      <c r="D111" s="67">
        <v>180</v>
      </c>
      <c r="E111" s="67">
        <v>0</v>
      </c>
      <c r="F111" s="67">
        <v>0</v>
      </c>
      <c r="G111" s="67">
        <v>0</v>
      </c>
      <c r="H111" s="68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</row>
    <row r="112" spans="1:26" s="50" customFormat="1" ht="15" customHeight="1" x14ac:dyDescent="0.15">
      <c r="A112" s="123"/>
      <c r="B112" s="50" t="s">
        <v>51</v>
      </c>
      <c r="C112" s="67">
        <v>0</v>
      </c>
      <c r="D112" s="67">
        <v>0</v>
      </c>
      <c r="E112" s="67">
        <v>0</v>
      </c>
      <c r="F112" s="67">
        <v>0</v>
      </c>
      <c r="G112" s="67">
        <v>0</v>
      </c>
      <c r="H112" s="68">
        <v>0</v>
      </c>
      <c r="I112" s="50">
        <v>0</v>
      </c>
      <c r="J112" s="50">
        <v>0</v>
      </c>
      <c r="K112" s="50">
        <v>2</v>
      </c>
      <c r="L112" s="50">
        <v>2</v>
      </c>
      <c r="M112" s="50">
        <v>3</v>
      </c>
      <c r="N112" s="50">
        <v>3</v>
      </c>
      <c r="O112" s="50">
        <v>2</v>
      </c>
      <c r="P112" s="50">
        <v>2</v>
      </c>
      <c r="Q112" s="50">
        <v>0</v>
      </c>
      <c r="R112" s="50">
        <v>0</v>
      </c>
      <c r="S112" s="50">
        <v>0</v>
      </c>
      <c r="T112" s="2">
        <v>2</v>
      </c>
      <c r="U112" s="2">
        <v>2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</row>
    <row r="113" spans="1:26" s="50" customFormat="1" ht="15" customHeight="1" x14ac:dyDescent="0.15">
      <c r="A113" s="123"/>
      <c r="B113" s="25" t="s">
        <v>71</v>
      </c>
      <c r="C113" s="67">
        <v>5853013</v>
      </c>
      <c r="D113" s="67">
        <v>4344472</v>
      </c>
      <c r="E113" s="67">
        <f>537+6562073</f>
        <v>6562610</v>
      </c>
      <c r="F113" s="67">
        <f>467+4769607</f>
        <v>4770074</v>
      </c>
      <c r="G113" s="67">
        <f>311+3143671</f>
        <v>3143982</v>
      </c>
      <c r="H113" s="67">
        <v>3341123</v>
      </c>
      <c r="I113" s="67">
        <v>3028449</v>
      </c>
      <c r="J113" s="67">
        <v>2543937</v>
      </c>
      <c r="K113" s="67">
        <v>2448253</v>
      </c>
      <c r="L113" s="67">
        <v>2466808</v>
      </c>
      <c r="M113" s="67">
        <v>3110701</v>
      </c>
      <c r="N113" s="67">
        <v>3043370</v>
      </c>
      <c r="O113" s="67">
        <v>2189959</v>
      </c>
      <c r="P113" s="67">
        <v>2786676</v>
      </c>
      <c r="Q113" s="67">
        <v>2572230</v>
      </c>
      <c r="R113" s="67">
        <v>3590208</v>
      </c>
      <c r="S113" s="67">
        <v>2616143</v>
      </c>
      <c r="T113" s="46">
        <v>2466808</v>
      </c>
      <c r="U113" s="46">
        <v>2786676</v>
      </c>
      <c r="V113" s="46">
        <v>2040876</v>
      </c>
      <c r="W113" s="46">
        <v>1988866</v>
      </c>
      <c r="X113" s="46">
        <v>2044032</v>
      </c>
      <c r="Y113" s="46">
        <v>2314134</v>
      </c>
      <c r="Z113" s="46">
        <v>2663431</v>
      </c>
    </row>
    <row r="114" spans="1:26" s="50" customFormat="1" ht="15" customHeight="1" x14ac:dyDescent="0.15">
      <c r="A114" s="123"/>
      <c r="B114" s="10" t="s">
        <v>89</v>
      </c>
      <c r="C114" s="67">
        <v>757</v>
      </c>
      <c r="D114" s="67">
        <v>8691</v>
      </c>
      <c r="E114" s="67">
        <v>2</v>
      </c>
      <c r="F114" s="67">
        <v>782</v>
      </c>
      <c r="G114" s="67">
        <v>899</v>
      </c>
      <c r="H114" s="67">
        <v>1602</v>
      </c>
      <c r="I114" s="67">
        <v>1198</v>
      </c>
      <c r="J114" s="67">
        <v>819</v>
      </c>
      <c r="K114" s="67">
        <v>829</v>
      </c>
      <c r="L114" s="67">
        <v>1266</v>
      </c>
      <c r="M114" s="67">
        <v>3654</v>
      </c>
      <c r="N114" s="67">
        <v>7811</v>
      </c>
      <c r="O114" s="67">
        <v>8085</v>
      </c>
      <c r="P114" s="67">
        <v>6849</v>
      </c>
      <c r="Q114" s="67">
        <v>8883</v>
      </c>
      <c r="R114" s="67">
        <v>7629</v>
      </c>
      <c r="S114" s="67">
        <v>0</v>
      </c>
      <c r="T114" s="46">
        <v>1266</v>
      </c>
      <c r="U114" s="46">
        <v>6849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</row>
    <row r="115" spans="1:26" s="50" customFormat="1" ht="15" customHeight="1" x14ac:dyDescent="0.15">
      <c r="A115" s="123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2"/>
      <c r="U115" s="2"/>
      <c r="V115" s="2"/>
      <c r="W115" s="2"/>
      <c r="X115" s="2"/>
      <c r="Y115" s="2"/>
      <c r="Z115" s="2"/>
    </row>
    <row r="116" spans="1:26" s="52" customFormat="1" ht="15" customHeight="1" x14ac:dyDescent="0.15">
      <c r="A116" s="99">
        <v>10</v>
      </c>
      <c r="B116" s="120" t="s">
        <v>12</v>
      </c>
      <c r="C116" s="62">
        <v>1532956</v>
      </c>
      <c r="D116" s="62">
        <v>1220530</v>
      </c>
      <c r="E116" s="62">
        <v>3420366</v>
      </c>
      <c r="F116" s="62">
        <v>3639440</v>
      </c>
      <c r="G116" s="62">
        <v>790718</v>
      </c>
      <c r="H116" s="62">
        <v>478239</v>
      </c>
      <c r="I116" s="38">
        <v>486707</v>
      </c>
      <c r="J116" s="38">
        <v>415870</v>
      </c>
      <c r="K116" s="38">
        <v>418073</v>
      </c>
      <c r="L116" s="38">
        <v>353631</v>
      </c>
      <c r="M116" s="38">
        <v>383622</v>
      </c>
      <c r="N116" s="38">
        <v>372162</v>
      </c>
      <c r="O116" s="38">
        <v>377051</v>
      </c>
      <c r="P116" s="38">
        <v>351959</v>
      </c>
      <c r="Q116" s="38">
        <v>422797</v>
      </c>
      <c r="R116" s="38">
        <v>388291</v>
      </c>
      <c r="S116" s="38">
        <v>345253</v>
      </c>
      <c r="T116" s="7">
        <v>353631</v>
      </c>
      <c r="U116" s="7">
        <v>351959</v>
      </c>
      <c r="V116" s="7">
        <v>412645</v>
      </c>
      <c r="W116" s="7">
        <f t="shared" ref="W116:Z116" si="50">SUM(W117:W124)</f>
        <v>289911</v>
      </c>
      <c r="X116" s="7">
        <f t="shared" si="50"/>
        <v>423829</v>
      </c>
      <c r="Y116" s="7">
        <f t="shared" si="50"/>
        <v>118932</v>
      </c>
      <c r="Z116" s="7">
        <f t="shared" si="50"/>
        <v>164467</v>
      </c>
    </row>
    <row r="117" spans="1:26" s="50" customFormat="1" ht="15" customHeight="1" x14ac:dyDescent="0.15">
      <c r="A117" s="123"/>
      <c r="B117" s="50" t="s">
        <v>4</v>
      </c>
      <c r="C117" s="67">
        <v>0</v>
      </c>
      <c r="D117" s="67">
        <v>0</v>
      </c>
      <c r="E117" s="67">
        <v>0</v>
      </c>
      <c r="F117" s="67">
        <v>0</v>
      </c>
      <c r="G117" s="67">
        <v>0</v>
      </c>
      <c r="H117" s="68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</row>
    <row r="118" spans="1:26" s="50" customFormat="1" ht="15" customHeight="1" x14ac:dyDescent="0.15">
      <c r="A118" s="123"/>
      <c r="B118" s="50" t="s">
        <v>5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68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s="50" customFormat="1" ht="15" customHeight="1" x14ac:dyDescent="0.15">
      <c r="A119" s="123"/>
      <c r="B119" s="50" t="s">
        <v>18</v>
      </c>
      <c r="C119" s="67">
        <v>276910</v>
      </c>
      <c r="D119" s="67">
        <v>141996</v>
      </c>
      <c r="E119" s="67">
        <v>366061</v>
      </c>
      <c r="F119" s="67">
        <v>274761</v>
      </c>
      <c r="G119" s="67">
        <v>17090</v>
      </c>
      <c r="H119" s="67">
        <v>14172</v>
      </c>
      <c r="I119" s="67">
        <v>14320</v>
      </c>
      <c r="J119" s="67">
        <v>13934</v>
      </c>
      <c r="K119" s="67">
        <v>14423</v>
      </c>
      <c r="L119" s="67">
        <v>14410</v>
      </c>
      <c r="M119" s="67">
        <v>17799</v>
      </c>
      <c r="N119" s="67">
        <v>12834</v>
      </c>
      <c r="O119" s="67">
        <v>11445</v>
      </c>
      <c r="P119" s="67">
        <v>11324</v>
      </c>
      <c r="Q119" s="67">
        <v>0</v>
      </c>
      <c r="R119" s="67">
        <v>0</v>
      </c>
      <c r="S119" s="67">
        <v>0</v>
      </c>
      <c r="T119" s="46">
        <v>14410</v>
      </c>
      <c r="U119" s="46">
        <v>11324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</row>
    <row r="120" spans="1:26" s="50" customFormat="1" ht="15" customHeight="1" x14ac:dyDescent="0.15">
      <c r="A120" s="123"/>
      <c r="B120" s="50" t="s">
        <v>15</v>
      </c>
      <c r="C120" s="68" t="s">
        <v>16</v>
      </c>
      <c r="D120" s="68" t="s">
        <v>16</v>
      </c>
      <c r="E120" s="68" t="s">
        <v>16</v>
      </c>
      <c r="F120" s="67">
        <v>0</v>
      </c>
      <c r="G120" s="67">
        <v>0</v>
      </c>
      <c r="H120" s="68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  <c r="Q120" s="50">
        <v>0</v>
      </c>
      <c r="R120" s="50">
        <v>0</v>
      </c>
      <c r="S120" s="50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s="50" customFormat="1" ht="15" customHeight="1" x14ac:dyDescent="0.15">
      <c r="A121" s="123"/>
      <c r="B121" s="50" t="s">
        <v>53</v>
      </c>
      <c r="C121" s="67">
        <v>0</v>
      </c>
      <c r="D121" s="67">
        <v>33350</v>
      </c>
      <c r="E121" s="67">
        <v>0</v>
      </c>
      <c r="F121" s="67">
        <v>0</v>
      </c>
      <c r="G121" s="67">
        <v>0</v>
      </c>
      <c r="H121" s="68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s="50" customFormat="1" ht="15" customHeight="1" x14ac:dyDescent="0.15">
      <c r="A122" s="123"/>
      <c r="B122" s="50" t="s">
        <v>52</v>
      </c>
      <c r="C122" s="67">
        <v>0</v>
      </c>
      <c r="D122" s="67">
        <v>469</v>
      </c>
      <c r="E122" s="67">
        <v>0</v>
      </c>
      <c r="F122" s="67">
        <v>0</v>
      </c>
      <c r="G122" s="67">
        <v>0</v>
      </c>
      <c r="H122" s="68">
        <v>0</v>
      </c>
      <c r="I122" s="50">
        <v>0</v>
      </c>
      <c r="J122" s="50">
        <v>0</v>
      </c>
      <c r="K122" s="50">
        <v>0</v>
      </c>
      <c r="L122" s="50">
        <v>120</v>
      </c>
      <c r="M122" s="50">
        <v>0</v>
      </c>
      <c r="N122" s="50">
        <v>0</v>
      </c>
      <c r="O122" s="50">
        <v>0</v>
      </c>
      <c r="P122" s="75">
        <v>14809</v>
      </c>
      <c r="Q122" s="75">
        <v>20011</v>
      </c>
      <c r="R122" s="50">
        <v>0</v>
      </c>
      <c r="S122" s="50">
        <v>0</v>
      </c>
      <c r="T122" s="2">
        <v>120</v>
      </c>
      <c r="U122" s="23">
        <v>14809</v>
      </c>
      <c r="V122" s="2">
        <v>0</v>
      </c>
      <c r="W122" s="23">
        <v>93062</v>
      </c>
      <c r="X122" s="46">
        <v>78483</v>
      </c>
      <c r="Y122" s="46">
        <v>0</v>
      </c>
      <c r="Z122" s="46">
        <v>0</v>
      </c>
    </row>
    <row r="123" spans="1:26" s="50" customFormat="1" ht="15" customHeight="1" x14ac:dyDescent="0.15">
      <c r="A123" s="123"/>
      <c r="B123" s="25" t="s">
        <v>71</v>
      </c>
      <c r="C123" s="67">
        <f>30000+1217017</f>
        <v>1247017</v>
      </c>
      <c r="D123" s="67">
        <v>1014891</v>
      </c>
      <c r="E123" s="67">
        <f>8028+3043063</f>
        <v>3051091</v>
      </c>
      <c r="F123" s="67">
        <f>7878+3346942</f>
        <v>3354820</v>
      </c>
      <c r="G123" s="67">
        <f>6821+759943</f>
        <v>766764</v>
      </c>
      <c r="H123" s="67">
        <v>457036</v>
      </c>
      <c r="I123" s="67">
        <v>462092</v>
      </c>
      <c r="J123" s="67">
        <v>383133</v>
      </c>
      <c r="K123" s="67">
        <v>384190</v>
      </c>
      <c r="L123" s="67">
        <v>319489</v>
      </c>
      <c r="M123" s="67">
        <v>355152</v>
      </c>
      <c r="N123" s="67">
        <v>348218</v>
      </c>
      <c r="O123" s="67">
        <v>354919</v>
      </c>
      <c r="P123" s="67">
        <v>315377</v>
      </c>
      <c r="Q123" s="67">
        <v>393395</v>
      </c>
      <c r="R123" s="67">
        <v>377399</v>
      </c>
      <c r="S123" s="67">
        <v>334801</v>
      </c>
      <c r="T123" s="46">
        <v>319489</v>
      </c>
      <c r="U123" s="46">
        <v>315377</v>
      </c>
      <c r="V123" s="46">
        <v>406265</v>
      </c>
      <c r="W123" s="46">
        <v>194775</v>
      </c>
      <c r="X123" s="46">
        <v>337391</v>
      </c>
      <c r="Y123" s="46">
        <v>118932</v>
      </c>
      <c r="Z123" s="46">
        <v>164467</v>
      </c>
    </row>
    <row r="124" spans="1:26" s="50" customFormat="1" ht="15" customHeight="1" x14ac:dyDescent="0.15">
      <c r="A124" s="123"/>
      <c r="B124" s="10" t="s">
        <v>89</v>
      </c>
      <c r="C124" s="67">
        <v>9029</v>
      </c>
      <c r="D124" s="67">
        <v>29824</v>
      </c>
      <c r="E124" s="67">
        <v>3214</v>
      </c>
      <c r="F124" s="67">
        <v>9859</v>
      </c>
      <c r="G124" s="67">
        <v>6864</v>
      </c>
      <c r="H124" s="67">
        <v>7031</v>
      </c>
      <c r="I124" s="67">
        <v>10295</v>
      </c>
      <c r="J124" s="67">
        <v>18803</v>
      </c>
      <c r="K124" s="67">
        <v>19460</v>
      </c>
      <c r="L124" s="67">
        <v>19612</v>
      </c>
      <c r="M124" s="67">
        <v>10671</v>
      </c>
      <c r="N124" s="67">
        <v>11110</v>
      </c>
      <c r="O124" s="67">
        <v>10687</v>
      </c>
      <c r="P124" s="67">
        <v>10449</v>
      </c>
      <c r="Q124" s="67">
        <v>9391</v>
      </c>
      <c r="R124" s="67">
        <v>10892</v>
      </c>
      <c r="S124" s="67">
        <v>10452</v>
      </c>
      <c r="T124" s="46">
        <v>19612</v>
      </c>
      <c r="U124" s="46">
        <v>10449</v>
      </c>
      <c r="V124" s="46">
        <v>6380</v>
      </c>
      <c r="W124" s="46">
        <v>2074</v>
      </c>
      <c r="X124" s="46">
        <v>7955</v>
      </c>
      <c r="Y124" s="46">
        <v>0</v>
      </c>
      <c r="Z124" s="46">
        <v>0</v>
      </c>
    </row>
    <row r="125" spans="1:26" s="53" customFormat="1" ht="12" customHeight="1" x14ac:dyDescent="0.2">
      <c r="A125" s="51"/>
      <c r="C125" s="106"/>
      <c r="D125" s="54"/>
      <c r="E125" s="54"/>
      <c r="F125" s="54"/>
      <c r="G125" s="54"/>
      <c r="H125" s="54"/>
      <c r="T125" s="2"/>
      <c r="U125" s="2"/>
      <c r="V125" s="2"/>
      <c r="W125" s="2"/>
      <c r="X125" s="2"/>
      <c r="Y125" s="2"/>
      <c r="Z125" s="2"/>
    </row>
    <row r="126" spans="1:26" s="52" customFormat="1" ht="15" customHeight="1" x14ac:dyDescent="0.15">
      <c r="A126" s="99">
        <v>11</v>
      </c>
      <c r="B126" s="120" t="s">
        <v>36</v>
      </c>
      <c r="C126" s="62">
        <v>216926904</v>
      </c>
      <c r="D126" s="62">
        <v>260316134</v>
      </c>
      <c r="E126" s="62">
        <v>261723569</v>
      </c>
      <c r="F126" s="62">
        <v>274335747</v>
      </c>
      <c r="G126" s="62">
        <f>SUM(G127:G129)</f>
        <v>1862212</v>
      </c>
      <c r="H126" s="62">
        <f>SUM(H127:H129)</f>
        <v>997882</v>
      </c>
      <c r="I126" s="38">
        <v>1888742</v>
      </c>
      <c r="J126" s="38">
        <v>2069886</v>
      </c>
      <c r="K126" s="38">
        <v>1944986</v>
      </c>
      <c r="L126" s="38">
        <v>1817471</v>
      </c>
      <c r="M126" s="38">
        <v>1884864</v>
      </c>
      <c r="N126" s="38">
        <v>1771890</v>
      </c>
      <c r="O126" s="38">
        <v>1911190</v>
      </c>
      <c r="P126" s="38">
        <v>2130629</v>
      </c>
      <c r="Q126" s="38">
        <v>1955180</v>
      </c>
      <c r="R126" s="38">
        <v>1734309</v>
      </c>
      <c r="S126" s="38">
        <v>1860522</v>
      </c>
      <c r="T126" s="7">
        <v>1817471</v>
      </c>
      <c r="U126" s="7">
        <v>2130629</v>
      </c>
      <c r="V126" s="7">
        <v>2741871</v>
      </c>
      <c r="W126" s="7">
        <f t="shared" ref="W126:Z126" si="51">SUM(W127:W131)</f>
        <v>2494882</v>
      </c>
      <c r="X126" s="7">
        <f t="shared" si="51"/>
        <v>2529605</v>
      </c>
      <c r="Y126" s="7">
        <f t="shared" si="51"/>
        <v>2156224</v>
      </c>
      <c r="Z126" s="7">
        <f t="shared" si="51"/>
        <v>554995</v>
      </c>
    </row>
    <row r="127" spans="1:26" s="50" customFormat="1" ht="15" customHeight="1" x14ac:dyDescent="0.15">
      <c r="A127" s="123"/>
      <c r="B127" s="25" t="s">
        <v>20</v>
      </c>
      <c r="C127" s="124" t="s">
        <v>16</v>
      </c>
      <c r="D127" s="124" t="s">
        <v>16</v>
      </c>
      <c r="E127" s="64" t="s">
        <v>16</v>
      </c>
      <c r="F127" s="67">
        <f>239275624+1073</f>
        <v>239276697</v>
      </c>
      <c r="G127" s="67">
        <v>363501</v>
      </c>
      <c r="H127" s="67">
        <v>355247</v>
      </c>
      <c r="I127" s="67">
        <v>329903</v>
      </c>
      <c r="J127" s="67">
        <v>2829</v>
      </c>
      <c r="K127" s="67">
        <v>359085</v>
      </c>
      <c r="L127" s="67">
        <f>36</f>
        <v>36</v>
      </c>
      <c r="M127" s="67">
        <v>105</v>
      </c>
      <c r="N127" s="67">
        <v>495725</v>
      </c>
      <c r="O127" s="67">
        <v>494560</v>
      </c>
      <c r="P127" s="67">
        <v>679</v>
      </c>
      <c r="Q127" s="67">
        <v>0</v>
      </c>
      <c r="R127" s="67">
        <v>0</v>
      </c>
      <c r="S127" s="67">
        <v>0</v>
      </c>
      <c r="T127" s="46">
        <f>36</f>
        <v>36</v>
      </c>
      <c r="U127" s="46">
        <v>679</v>
      </c>
      <c r="V127" s="46">
        <v>0</v>
      </c>
      <c r="W127" s="46">
        <v>427</v>
      </c>
      <c r="X127" s="46">
        <v>0</v>
      </c>
      <c r="Y127" s="46">
        <v>0</v>
      </c>
      <c r="Z127" s="46">
        <v>0</v>
      </c>
    </row>
    <row r="128" spans="1:26" s="50" customFormat="1" ht="15" customHeight="1" x14ac:dyDescent="0.15">
      <c r="A128" s="125"/>
      <c r="B128" s="87" t="s">
        <v>42</v>
      </c>
      <c r="C128" s="126" t="s">
        <v>16</v>
      </c>
      <c r="D128" s="126" t="s">
        <v>16</v>
      </c>
      <c r="E128" s="126" t="s">
        <v>16</v>
      </c>
      <c r="F128" s="67">
        <v>35059050</v>
      </c>
      <c r="G128" s="67">
        <v>1498711</v>
      </c>
      <c r="H128" s="126">
        <v>251007</v>
      </c>
      <c r="I128" s="67">
        <v>228361</v>
      </c>
      <c r="J128" s="67">
        <v>35</v>
      </c>
      <c r="K128" s="67">
        <v>460</v>
      </c>
      <c r="L128" s="67">
        <v>317</v>
      </c>
      <c r="M128" s="67">
        <v>522862</v>
      </c>
      <c r="N128" s="67">
        <v>26</v>
      </c>
      <c r="O128" s="67">
        <v>435</v>
      </c>
      <c r="P128" s="67">
        <v>0</v>
      </c>
      <c r="Q128" s="67">
        <v>0</v>
      </c>
      <c r="R128" s="67">
        <v>8901</v>
      </c>
      <c r="S128" s="67">
        <v>15029</v>
      </c>
      <c r="T128" s="46">
        <v>317</v>
      </c>
      <c r="U128" s="46">
        <v>0</v>
      </c>
      <c r="V128" s="46">
        <v>646835</v>
      </c>
      <c r="W128" s="46">
        <v>0</v>
      </c>
      <c r="X128" s="46">
        <v>708</v>
      </c>
      <c r="Y128" s="46">
        <v>1889</v>
      </c>
      <c r="Z128" s="46">
        <v>0</v>
      </c>
    </row>
    <row r="129" spans="1:26" s="50" customFormat="1" ht="15" customHeight="1" x14ac:dyDescent="0.15">
      <c r="A129" s="125"/>
      <c r="B129" s="25" t="s">
        <v>71</v>
      </c>
      <c r="C129" s="126" t="s">
        <v>16</v>
      </c>
      <c r="D129" s="126" t="s">
        <v>16</v>
      </c>
      <c r="E129" s="126" t="s">
        <v>16</v>
      </c>
      <c r="F129" s="67">
        <v>0</v>
      </c>
      <c r="G129" s="67">
        <v>0</v>
      </c>
      <c r="H129" s="126">
        <v>391628</v>
      </c>
      <c r="I129" s="67">
        <v>381045</v>
      </c>
      <c r="J129" s="67">
        <v>1029197</v>
      </c>
      <c r="K129" s="67">
        <v>615782</v>
      </c>
      <c r="L129" s="67">
        <v>1258528</v>
      </c>
      <c r="M129" s="67">
        <v>674737</v>
      </c>
      <c r="N129" s="67">
        <v>575979</v>
      </c>
      <c r="O129" s="67">
        <v>620481</v>
      </c>
      <c r="P129" s="67">
        <v>1273244</v>
      </c>
      <c r="Q129" s="67">
        <v>1047724</v>
      </c>
      <c r="R129" s="67">
        <v>655725</v>
      </c>
      <c r="S129" s="67">
        <v>802772</v>
      </c>
      <c r="T129" s="46">
        <v>1258528</v>
      </c>
      <c r="U129" s="46">
        <v>1273244</v>
      </c>
      <c r="V129" s="46">
        <v>517386</v>
      </c>
      <c r="W129" s="46">
        <v>480791</v>
      </c>
      <c r="X129" s="46">
        <v>607931</v>
      </c>
      <c r="Y129" s="46">
        <v>481967</v>
      </c>
      <c r="Z129" s="46">
        <v>554995</v>
      </c>
    </row>
    <row r="130" spans="1:26" s="1" customFormat="1" ht="15" customHeight="1" x14ac:dyDescent="0.2">
      <c r="A130" s="47"/>
      <c r="B130" s="21" t="s">
        <v>79</v>
      </c>
      <c r="C130" s="111" t="s">
        <v>16</v>
      </c>
      <c r="D130" s="111" t="s">
        <v>16</v>
      </c>
      <c r="E130" s="111" t="s">
        <v>16</v>
      </c>
      <c r="F130" s="111" t="s">
        <v>16</v>
      </c>
      <c r="G130" s="10">
        <v>0</v>
      </c>
      <c r="H130" s="127">
        <v>256651</v>
      </c>
      <c r="I130" s="111" t="s">
        <v>16</v>
      </c>
      <c r="J130" s="111" t="s">
        <v>16</v>
      </c>
      <c r="K130" s="111" t="s">
        <v>16</v>
      </c>
      <c r="L130" s="111" t="s">
        <v>16</v>
      </c>
      <c r="M130" s="128">
        <v>470316</v>
      </c>
      <c r="N130" s="128">
        <v>480833</v>
      </c>
      <c r="O130" s="128">
        <v>544704</v>
      </c>
      <c r="P130" s="128">
        <v>710156</v>
      </c>
      <c r="Q130" s="128">
        <v>810354</v>
      </c>
      <c r="R130" s="128" t="e">
        <f>#REF!-R131</f>
        <v>#REF!</v>
      </c>
      <c r="S130" s="128">
        <v>1029704</v>
      </c>
      <c r="T130" s="12">
        <v>304338</v>
      </c>
      <c r="U130" s="23">
        <v>710156</v>
      </c>
      <c r="V130" s="46">
        <v>1572839</v>
      </c>
      <c r="W130" s="46">
        <v>886060</v>
      </c>
      <c r="X130" s="46">
        <v>949354</v>
      </c>
      <c r="Y130" s="46">
        <v>980726</v>
      </c>
      <c r="Z130" s="46">
        <v>0</v>
      </c>
    </row>
    <row r="131" spans="1:26" s="1" customFormat="1" ht="15" customHeight="1" x14ac:dyDescent="0.2">
      <c r="A131" s="47"/>
      <c r="B131" s="21" t="s">
        <v>82</v>
      </c>
      <c r="C131" s="111" t="s">
        <v>16</v>
      </c>
      <c r="D131" s="111" t="s">
        <v>16</v>
      </c>
      <c r="E131" s="111" t="s">
        <v>16</v>
      </c>
      <c r="F131" s="111" t="s">
        <v>16</v>
      </c>
      <c r="G131" s="10">
        <v>0</v>
      </c>
      <c r="H131" s="127">
        <v>593534</v>
      </c>
      <c r="I131" s="111" t="s">
        <v>16</v>
      </c>
      <c r="J131" s="111" t="s">
        <v>16</v>
      </c>
      <c r="K131" s="111" t="s">
        <v>16</v>
      </c>
      <c r="L131" s="111" t="s">
        <v>16</v>
      </c>
      <c r="M131" s="128">
        <v>216844</v>
      </c>
      <c r="N131" s="128">
        <v>219327</v>
      </c>
      <c r="O131" s="128">
        <v>251010</v>
      </c>
      <c r="P131" s="128">
        <v>146550</v>
      </c>
      <c r="Q131" s="128">
        <v>97102</v>
      </c>
      <c r="R131" s="128">
        <v>62040</v>
      </c>
      <c r="S131" s="128">
        <v>13017</v>
      </c>
      <c r="T131" s="12">
        <v>254252</v>
      </c>
      <c r="U131" s="23">
        <v>146550</v>
      </c>
      <c r="V131" s="46">
        <v>4811</v>
      </c>
      <c r="W131" s="46">
        <v>1127604</v>
      </c>
      <c r="X131" s="46">
        <v>971612</v>
      </c>
      <c r="Y131" s="46">
        <v>691642</v>
      </c>
      <c r="Z131" s="46">
        <v>0</v>
      </c>
    </row>
    <row r="132" spans="1:26" s="53" customFormat="1" ht="15" customHeight="1" x14ac:dyDescent="0.2">
      <c r="A132" s="51"/>
      <c r="B132" s="61"/>
      <c r="C132" s="129"/>
      <c r="D132" s="54"/>
      <c r="E132" s="54"/>
      <c r="F132" s="54"/>
      <c r="G132" s="54"/>
      <c r="H132" s="130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2"/>
      <c r="V132" s="46"/>
      <c r="W132" s="46"/>
      <c r="X132" s="46"/>
      <c r="Y132" s="46"/>
      <c r="Z132" s="46"/>
    </row>
    <row r="133" spans="1:26" s="53" customFormat="1" ht="15.95" customHeight="1" x14ac:dyDescent="0.2">
      <c r="A133" s="99">
        <v>12</v>
      </c>
      <c r="B133" s="61" t="s">
        <v>60</v>
      </c>
      <c r="C133" s="62">
        <v>0</v>
      </c>
      <c r="D133" s="62">
        <v>0</v>
      </c>
      <c r="E133" s="62">
        <v>0</v>
      </c>
      <c r="F133" s="62">
        <v>0</v>
      </c>
      <c r="G133" s="62">
        <v>0</v>
      </c>
      <c r="H133" s="62">
        <v>0</v>
      </c>
      <c r="I133" s="38">
        <v>0</v>
      </c>
      <c r="J133" s="38">
        <v>0</v>
      </c>
      <c r="K133" s="38">
        <v>42331</v>
      </c>
      <c r="L133" s="38">
        <v>288688</v>
      </c>
      <c r="M133" s="38">
        <v>144747</v>
      </c>
      <c r="N133" s="38">
        <v>287998</v>
      </c>
      <c r="O133" s="38">
        <v>45748</v>
      </c>
      <c r="P133" s="38">
        <v>320965</v>
      </c>
      <c r="Q133" s="38">
        <v>964464</v>
      </c>
      <c r="R133" s="38">
        <v>1606534</v>
      </c>
      <c r="S133" s="38">
        <v>1778743</v>
      </c>
      <c r="T133" s="7">
        <v>288688</v>
      </c>
      <c r="U133" s="7">
        <v>320965</v>
      </c>
      <c r="V133" s="7">
        <v>1706618</v>
      </c>
      <c r="W133" s="7">
        <v>1645002</v>
      </c>
      <c r="X133" s="7">
        <v>1553758</v>
      </c>
      <c r="Y133" s="7">
        <v>562078</v>
      </c>
      <c r="Z133" s="7">
        <v>0</v>
      </c>
    </row>
    <row r="134" spans="1:26" s="52" customFormat="1" ht="15.95" customHeight="1" x14ac:dyDescent="0.15">
      <c r="A134" s="99">
        <v>13</v>
      </c>
      <c r="B134" s="61" t="s">
        <v>8</v>
      </c>
      <c r="C134" s="62">
        <v>1760923</v>
      </c>
      <c r="D134" s="62">
        <v>2870258</v>
      </c>
      <c r="E134" s="62">
        <v>887600</v>
      </c>
      <c r="F134" s="62">
        <v>1596820</v>
      </c>
      <c r="G134" s="62">
        <f>251389+500590</f>
        <v>751979</v>
      </c>
      <c r="H134" s="62">
        <f>201030+504209</f>
        <v>705239</v>
      </c>
      <c r="I134" s="38">
        <f>127674+463604</f>
        <v>591278</v>
      </c>
      <c r="J134" s="38">
        <f>64782+436519</f>
        <v>501301</v>
      </c>
      <c r="K134" s="38">
        <f>437056-42331</f>
        <v>394725</v>
      </c>
      <c r="L134" s="38">
        <f>446377</f>
        <v>446377</v>
      </c>
      <c r="M134" s="38">
        <v>358747</v>
      </c>
      <c r="N134" s="38">
        <v>238215</v>
      </c>
      <c r="O134" s="38">
        <v>584887</v>
      </c>
      <c r="P134" s="38">
        <v>534567</v>
      </c>
      <c r="Q134" s="38">
        <v>487819</v>
      </c>
      <c r="R134" s="38">
        <v>469417</v>
      </c>
      <c r="S134" s="38">
        <v>428485</v>
      </c>
      <c r="T134" s="7">
        <f>446377</f>
        <v>446377</v>
      </c>
      <c r="U134" s="7">
        <v>534567</v>
      </c>
      <c r="V134" s="7">
        <v>429598</v>
      </c>
      <c r="W134" s="7">
        <v>486420</v>
      </c>
      <c r="X134" s="7">
        <v>410580</v>
      </c>
      <c r="Y134" s="7">
        <v>606403</v>
      </c>
      <c r="Z134" s="7">
        <v>209213</v>
      </c>
    </row>
    <row r="135" spans="1:26" s="52" customFormat="1" ht="15.95" customHeight="1" x14ac:dyDescent="0.15">
      <c r="A135" s="99">
        <v>14</v>
      </c>
      <c r="B135" s="61" t="s">
        <v>9</v>
      </c>
      <c r="C135" s="62">
        <f t="shared" ref="C135:S135" si="52">C134+C133+C126+C116+C106+C96</f>
        <v>226115045</v>
      </c>
      <c r="D135" s="62">
        <f t="shared" si="52"/>
        <v>268914396</v>
      </c>
      <c r="E135" s="62">
        <f t="shared" si="52"/>
        <v>272979003</v>
      </c>
      <c r="F135" s="62">
        <f t="shared" si="52"/>
        <v>285951271</v>
      </c>
      <c r="G135" s="62">
        <f t="shared" si="52"/>
        <v>8391695</v>
      </c>
      <c r="H135" s="62">
        <f t="shared" si="52"/>
        <v>7165102</v>
      </c>
      <c r="I135" s="38">
        <f t="shared" si="52"/>
        <v>7309012</v>
      </c>
      <c r="J135" s="38">
        <f t="shared" si="52"/>
        <v>6882870</v>
      </c>
      <c r="K135" s="38">
        <f t="shared" si="52"/>
        <v>6607725</v>
      </c>
      <c r="L135" s="38">
        <f t="shared" si="52"/>
        <v>6676097</v>
      </c>
      <c r="M135" s="38">
        <f t="shared" si="52"/>
        <v>7189566</v>
      </c>
      <c r="N135" s="38">
        <f t="shared" si="52"/>
        <v>7066670</v>
      </c>
      <c r="O135" s="38">
        <f t="shared" si="52"/>
        <v>6509893</v>
      </c>
      <c r="P135" s="38">
        <f t="shared" si="52"/>
        <v>7356378</v>
      </c>
      <c r="Q135" s="38">
        <f t="shared" si="52"/>
        <v>7581270</v>
      </c>
      <c r="R135" s="38">
        <f t="shared" si="52"/>
        <v>8674677</v>
      </c>
      <c r="S135" s="38">
        <f t="shared" si="52"/>
        <v>8003058</v>
      </c>
      <c r="T135" s="7">
        <f>T134+T133+T126+T116+T106+T96</f>
        <v>6676097</v>
      </c>
      <c r="U135" s="7">
        <f>U134+U133+U126+U116+U106+U96</f>
        <v>7356378</v>
      </c>
      <c r="V135" s="7">
        <f t="shared" ref="V135:Z135" si="53">V134+V133+V126+V116+V106+V96</f>
        <v>8405734</v>
      </c>
      <c r="W135" s="7">
        <f t="shared" si="53"/>
        <v>7904040</v>
      </c>
      <c r="X135" s="7">
        <f t="shared" si="53"/>
        <v>7841318</v>
      </c>
      <c r="Y135" s="7">
        <f t="shared" si="53"/>
        <v>5992640</v>
      </c>
      <c r="Z135" s="7">
        <f t="shared" si="53"/>
        <v>3778780</v>
      </c>
    </row>
    <row r="136" spans="1:26" s="52" customFormat="1" ht="15.95" customHeight="1" x14ac:dyDescent="0.15">
      <c r="A136" s="99">
        <v>15</v>
      </c>
      <c r="B136" s="120" t="s">
        <v>7</v>
      </c>
      <c r="C136" s="133">
        <v>-30941777</v>
      </c>
      <c r="D136" s="133">
        <v>-36109113</v>
      </c>
      <c r="E136" s="133">
        <v>-37070235</v>
      </c>
      <c r="F136" s="133">
        <v>-37625371</v>
      </c>
      <c r="G136" s="133">
        <v>1001246</v>
      </c>
      <c r="H136" s="133">
        <v>1008946</v>
      </c>
      <c r="I136" s="134">
        <v>1030071</v>
      </c>
      <c r="J136" s="134">
        <v>1023224</v>
      </c>
      <c r="K136" s="134">
        <v>1026776</v>
      </c>
      <c r="L136" s="134">
        <v>1034960</v>
      </c>
      <c r="M136" s="134">
        <v>1027881</v>
      </c>
      <c r="N136" s="134">
        <v>1018088</v>
      </c>
      <c r="O136" s="134">
        <v>1040694</v>
      </c>
      <c r="P136" s="134">
        <v>1023245</v>
      </c>
      <c r="Q136" s="134">
        <v>801824</v>
      </c>
      <c r="R136" s="134">
        <v>808294</v>
      </c>
      <c r="S136" s="134">
        <v>826044</v>
      </c>
      <c r="T136" s="49">
        <v>1034960</v>
      </c>
      <c r="U136" s="49">
        <v>1023245</v>
      </c>
      <c r="V136" s="7">
        <v>679170</v>
      </c>
      <c r="W136" s="7">
        <v>554464</v>
      </c>
      <c r="X136" s="7">
        <v>752130</v>
      </c>
      <c r="Y136" s="7">
        <v>813123</v>
      </c>
      <c r="Z136" s="7">
        <v>371362</v>
      </c>
    </row>
    <row r="137" spans="1:26" s="52" customFormat="1" ht="15.95" customHeight="1" x14ac:dyDescent="0.15">
      <c r="A137" s="99">
        <v>16</v>
      </c>
      <c r="B137" s="61" t="s">
        <v>14</v>
      </c>
      <c r="C137" s="62">
        <f>C136+C135</f>
        <v>195173268</v>
      </c>
      <c r="D137" s="62">
        <f>D136+D135</f>
        <v>232805283</v>
      </c>
      <c r="E137" s="62">
        <f>E136+E135</f>
        <v>235908768</v>
      </c>
      <c r="F137" s="62">
        <f t="shared" ref="F137:S137" si="54">F135+F136</f>
        <v>248325900</v>
      </c>
      <c r="G137" s="62">
        <f t="shared" si="54"/>
        <v>9392941</v>
      </c>
      <c r="H137" s="62">
        <f t="shared" si="54"/>
        <v>8174048</v>
      </c>
      <c r="I137" s="38">
        <f t="shared" si="54"/>
        <v>8339083</v>
      </c>
      <c r="J137" s="38">
        <f t="shared" si="54"/>
        <v>7906094</v>
      </c>
      <c r="K137" s="38">
        <f t="shared" si="54"/>
        <v>7634501</v>
      </c>
      <c r="L137" s="38">
        <f t="shared" si="54"/>
        <v>7711057</v>
      </c>
      <c r="M137" s="38">
        <f t="shared" si="54"/>
        <v>8217447</v>
      </c>
      <c r="N137" s="38">
        <f t="shared" si="54"/>
        <v>8084758</v>
      </c>
      <c r="O137" s="38">
        <f t="shared" si="54"/>
        <v>7550587</v>
      </c>
      <c r="P137" s="38">
        <f t="shared" si="54"/>
        <v>8379623</v>
      </c>
      <c r="Q137" s="38">
        <f t="shared" si="54"/>
        <v>8383094</v>
      </c>
      <c r="R137" s="38">
        <f t="shared" si="54"/>
        <v>9482971</v>
      </c>
      <c r="S137" s="38">
        <f t="shared" si="54"/>
        <v>8829102</v>
      </c>
      <c r="T137" s="7">
        <f>T135+T136</f>
        <v>7711057</v>
      </c>
      <c r="U137" s="7">
        <f>U135+U136</f>
        <v>8379623</v>
      </c>
      <c r="V137" s="7">
        <f>V135+V136</f>
        <v>9084904</v>
      </c>
      <c r="W137" s="7">
        <f t="shared" ref="W137:Z137" si="55">W135+W136</f>
        <v>8458504</v>
      </c>
      <c r="X137" s="7">
        <f t="shared" si="55"/>
        <v>8593448</v>
      </c>
      <c r="Y137" s="7">
        <f t="shared" si="55"/>
        <v>6805763</v>
      </c>
      <c r="Z137" s="7">
        <f t="shared" si="55"/>
        <v>4150142</v>
      </c>
    </row>
    <row r="138" spans="1:26" s="52" customFormat="1" ht="15.95" customHeight="1" x14ac:dyDescent="0.15">
      <c r="A138" s="99"/>
      <c r="B138" s="61"/>
      <c r="C138" s="62"/>
      <c r="D138" s="62"/>
      <c r="E138" s="62"/>
      <c r="F138" s="62"/>
      <c r="G138" s="62"/>
      <c r="H138" s="62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2"/>
      <c r="V138" s="2"/>
    </row>
    <row r="139" spans="1:26" s="52" customFormat="1" ht="15.95" customHeight="1" x14ac:dyDescent="0.15">
      <c r="A139" s="99"/>
      <c r="B139" s="61"/>
      <c r="C139" s="62"/>
      <c r="D139" s="62"/>
      <c r="E139" s="62"/>
      <c r="F139" s="62"/>
      <c r="G139" s="62"/>
      <c r="H139" s="62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2"/>
      <c r="V139" s="2"/>
    </row>
    <row r="140" spans="1:26" s="50" customFormat="1" ht="12" customHeight="1" x14ac:dyDescent="0.15">
      <c r="A140" s="123"/>
      <c r="B140" s="50" t="s">
        <v>66</v>
      </c>
      <c r="C140" s="64"/>
      <c r="D140" s="64"/>
      <c r="E140" s="64"/>
      <c r="F140" s="64"/>
      <c r="G140" s="64"/>
      <c r="H140" s="68"/>
      <c r="T140" s="52"/>
      <c r="V140" s="52"/>
    </row>
    <row r="141" spans="1:26" s="50" customFormat="1" ht="12" customHeight="1" x14ac:dyDescent="0.15">
      <c r="A141" s="123"/>
      <c r="B141" s="50" t="s">
        <v>73</v>
      </c>
      <c r="C141" s="64"/>
      <c r="D141" s="64"/>
      <c r="E141" s="64"/>
      <c r="F141" s="64"/>
      <c r="G141" s="64"/>
      <c r="H141" s="68"/>
      <c r="T141" s="52"/>
    </row>
    <row r="142" spans="1:26" s="53" customFormat="1" ht="12" customHeight="1" x14ac:dyDescent="0.2">
      <c r="A142" s="51"/>
      <c r="B142" s="135" t="s">
        <v>67</v>
      </c>
      <c r="C142" s="54"/>
      <c r="D142" s="54"/>
      <c r="E142" s="54"/>
      <c r="F142" s="54"/>
      <c r="G142" s="54"/>
      <c r="H142" s="54"/>
      <c r="T142" s="2"/>
    </row>
    <row r="143" spans="1:26" s="53" customFormat="1" hidden="1" x14ac:dyDescent="0.2">
      <c r="A143" s="51"/>
      <c r="B143" s="50" t="s">
        <v>74</v>
      </c>
      <c r="C143" s="54"/>
      <c r="D143" s="54"/>
      <c r="E143" s="54"/>
      <c r="F143" s="54"/>
      <c r="G143" s="54"/>
      <c r="H143" s="54"/>
      <c r="T143" s="2"/>
      <c r="V143" s="52"/>
    </row>
    <row r="144" spans="1:26" s="53" customFormat="1" x14ac:dyDescent="0.2">
      <c r="C144" s="54"/>
      <c r="D144" s="54"/>
      <c r="E144" s="54"/>
      <c r="F144" s="54"/>
      <c r="G144" s="54"/>
      <c r="H144" s="54"/>
      <c r="T144" s="2"/>
      <c r="V144" s="52"/>
    </row>
    <row r="145" spans="3:22" s="53" customFormat="1" x14ac:dyDescent="0.2">
      <c r="C145" s="54"/>
      <c r="D145" s="54"/>
      <c r="E145" s="54"/>
      <c r="F145" s="54"/>
      <c r="G145" s="54"/>
      <c r="H145" s="54"/>
      <c r="T145" s="2"/>
      <c r="V145" s="2"/>
    </row>
    <row r="146" spans="3:22" s="53" customFormat="1" x14ac:dyDescent="0.2">
      <c r="C146" s="54"/>
      <c r="D146" s="54"/>
      <c r="E146" s="54"/>
      <c r="F146" s="54"/>
      <c r="G146" s="54"/>
      <c r="H146" s="54"/>
      <c r="T146" s="2"/>
      <c r="V146" s="2"/>
    </row>
    <row r="147" spans="3:22" s="53" customFormat="1" x14ac:dyDescent="0.2">
      <c r="C147" s="54"/>
      <c r="D147" s="54"/>
      <c r="E147" s="54"/>
      <c r="F147" s="54"/>
      <c r="G147" s="54"/>
      <c r="H147" s="54"/>
      <c r="T147" s="2"/>
      <c r="V147" s="2"/>
    </row>
    <row r="148" spans="3:22" s="53" customFormat="1" x14ac:dyDescent="0.2">
      <c r="C148" s="54"/>
      <c r="D148" s="54"/>
      <c r="E148" s="54"/>
      <c r="F148" s="54"/>
      <c r="G148" s="54"/>
      <c r="H148" s="54"/>
      <c r="T148" s="2"/>
      <c r="V148" s="2"/>
    </row>
    <row r="149" spans="3:22" s="53" customFormat="1" x14ac:dyDescent="0.2">
      <c r="C149" s="54"/>
      <c r="D149" s="54"/>
      <c r="E149" s="54"/>
      <c r="F149" s="54"/>
      <c r="G149" s="54"/>
      <c r="H149" s="54"/>
      <c r="T149" s="2"/>
      <c r="V149" s="2"/>
    </row>
    <row r="150" spans="3:22" s="53" customFormat="1" x14ac:dyDescent="0.2">
      <c r="C150" s="54"/>
      <c r="D150" s="54"/>
      <c r="E150" s="54"/>
      <c r="F150" s="54"/>
      <c r="G150" s="54"/>
      <c r="H150" s="54"/>
      <c r="T150" s="2"/>
      <c r="V150" s="2"/>
    </row>
    <row r="151" spans="3:22" s="53" customFormat="1" x14ac:dyDescent="0.2">
      <c r="C151" s="54"/>
      <c r="D151" s="54"/>
      <c r="E151" s="54"/>
      <c r="F151" s="54"/>
      <c r="G151" s="54"/>
      <c r="H151" s="54"/>
      <c r="T151" s="2"/>
      <c r="V151" s="2"/>
    </row>
    <row r="152" spans="3:22" s="53" customFormat="1" x14ac:dyDescent="0.2">
      <c r="C152" s="54"/>
      <c r="D152" s="54"/>
      <c r="E152" s="54"/>
      <c r="F152" s="54"/>
      <c r="G152" s="54"/>
      <c r="H152" s="54"/>
      <c r="T152" s="2"/>
      <c r="V152" s="2"/>
    </row>
    <row r="153" spans="3:22" s="53" customFormat="1" x14ac:dyDescent="0.2">
      <c r="C153" s="54"/>
      <c r="D153" s="54"/>
      <c r="E153" s="54"/>
      <c r="F153" s="54"/>
      <c r="G153" s="54"/>
      <c r="H153" s="54"/>
      <c r="T153" s="2"/>
      <c r="V153" s="2"/>
    </row>
    <row r="154" spans="3:22" s="53" customFormat="1" x14ac:dyDescent="0.2">
      <c r="C154" s="54"/>
      <c r="D154" s="54"/>
      <c r="E154" s="54"/>
      <c r="F154" s="54"/>
      <c r="G154" s="54"/>
      <c r="H154" s="54"/>
      <c r="T154" s="2"/>
      <c r="V154" s="2"/>
    </row>
    <row r="155" spans="3:22" s="53" customFormat="1" x14ac:dyDescent="0.2">
      <c r="C155" s="54"/>
      <c r="D155" s="54"/>
      <c r="E155" s="54"/>
      <c r="F155" s="54"/>
      <c r="G155" s="54"/>
      <c r="H155" s="54"/>
      <c r="T155" s="2"/>
      <c r="V155" s="2"/>
    </row>
    <row r="156" spans="3:22" s="53" customFormat="1" x14ac:dyDescent="0.2">
      <c r="C156" s="54"/>
      <c r="D156" s="54"/>
      <c r="E156" s="54"/>
      <c r="F156" s="54"/>
      <c r="G156" s="54"/>
      <c r="H156" s="54"/>
      <c r="T156" s="2"/>
      <c r="V156" s="2"/>
    </row>
    <row r="157" spans="3:22" s="53" customFormat="1" x14ac:dyDescent="0.2">
      <c r="C157" s="54"/>
      <c r="D157" s="54"/>
      <c r="E157" s="54"/>
      <c r="F157" s="54"/>
      <c r="G157" s="54"/>
      <c r="H157" s="54"/>
      <c r="T157" s="2"/>
      <c r="V157" s="2"/>
    </row>
    <row r="158" spans="3:22" s="53" customFormat="1" x14ac:dyDescent="0.2">
      <c r="C158" s="54"/>
      <c r="D158" s="54"/>
      <c r="E158" s="54"/>
      <c r="F158" s="54"/>
      <c r="G158" s="54"/>
      <c r="H158" s="54"/>
      <c r="T158" s="2"/>
      <c r="V158" s="2"/>
    </row>
    <row r="159" spans="3:22" s="53" customFormat="1" x14ac:dyDescent="0.2">
      <c r="C159" s="54"/>
      <c r="D159" s="54"/>
      <c r="E159" s="54"/>
      <c r="F159" s="54"/>
      <c r="G159" s="54"/>
      <c r="H159" s="54"/>
      <c r="T159" s="2"/>
      <c r="V159" s="2"/>
    </row>
    <row r="160" spans="3:22" s="53" customFormat="1" x14ac:dyDescent="0.2">
      <c r="C160" s="54"/>
      <c r="D160" s="54"/>
      <c r="E160" s="54"/>
      <c r="F160" s="54"/>
      <c r="G160" s="54"/>
      <c r="H160" s="54"/>
      <c r="V160" s="2"/>
    </row>
    <row r="161" spans="3:22" s="53" customFormat="1" x14ac:dyDescent="0.2">
      <c r="C161" s="54"/>
      <c r="D161" s="54"/>
      <c r="E161" s="54"/>
      <c r="F161" s="54"/>
      <c r="G161" s="54"/>
      <c r="H161" s="54"/>
      <c r="V161" s="2"/>
    </row>
    <row r="162" spans="3:22" s="53" customFormat="1" x14ac:dyDescent="0.2">
      <c r="C162" s="54"/>
      <c r="D162" s="54"/>
      <c r="E162" s="54"/>
      <c r="F162" s="54"/>
      <c r="G162" s="54"/>
      <c r="H162" s="54"/>
      <c r="T162" s="2"/>
      <c r="V162" s="2"/>
    </row>
    <row r="163" spans="3:22" s="53" customFormat="1" x14ac:dyDescent="0.2">
      <c r="C163" s="54"/>
      <c r="D163" s="54"/>
      <c r="E163" s="54"/>
      <c r="F163" s="54"/>
      <c r="G163" s="54"/>
      <c r="H163" s="54"/>
      <c r="T163" s="2"/>
      <c r="V163" s="2"/>
    </row>
    <row r="164" spans="3:22" s="53" customFormat="1" x14ac:dyDescent="0.2">
      <c r="C164" s="54"/>
      <c r="D164" s="54"/>
      <c r="E164" s="54"/>
      <c r="F164" s="54"/>
      <c r="G164" s="54"/>
      <c r="H164" s="54"/>
      <c r="T164" s="2"/>
      <c r="V164" s="2"/>
    </row>
    <row r="165" spans="3:22" s="53" customFormat="1" x14ac:dyDescent="0.2">
      <c r="C165" s="54"/>
      <c r="D165" s="54"/>
      <c r="E165" s="54"/>
      <c r="F165" s="54"/>
      <c r="G165" s="54"/>
      <c r="H165" s="54"/>
      <c r="T165" s="2"/>
      <c r="V165" s="2"/>
    </row>
    <row r="166" spans="3:22" s="53" customFormat="1" x14ac:dyDescent="0.2">
      <c r="C166" s="54"/>
      <c r="D166" s="54"/>
      <c r="E166" s="54"/>
      <c r="F166" s="54"/>
      <c r="G166" s="54"/>
      <c r="H166" s="54"/>
      <c r="T166" s="2"/>
      <c r="V166" s="2"/>
    </row>
    <row r="167" spans="3:22" s="53" customFormat="1" x14ac:dyDescent="0.2">
      <c r="C167" s="54"/>
      <c r="D167" s="54"/>
      <c r="E167" s="54"/>
      <c r="F167" s="54"/>
      <c r="G167" s="54"/>
      <c r="H167" s="54"/>
      <c r="T167" s="2"/>
      <c r="V167" s="2"/>
    </row>
    <row r="168" spans="3:22" s="53" customFormat="1" x14ac:dyDescent="0.2">
      <c r="C168" s="54"/>
      <c r="D168" s="54"/>
      <c r="E168" s="54"/>
      <c r="F168" s="54"/>
      <c r="G168" s="54"/>
      <c r="H168" s="54"/>
      <c r="T168" s="2"/>
      <c r="V168" s="2"/>
    </row>
    <row r="169" spans="3:22" s="53" customFormat="1" x14ac:dyDescent="0.2">
      <c r="C169" s="54"/>
      <c r="D169" s="54"/>
      <c r="E169" s="54"/>
      <c r="F169" s="54"/>
      <c r="G169" s="54"/>
      <c r="H169" s="54"/>
      <c r="T169" s="2"/>
      <c r="V169" s="2"/>
    </row>
    <row r="170" spans="3:22" s="53" customFormat="1" x14ac:dyDescent="0.2">
      <c r="C170" s="54"/>
      <c r="D170" s="54"/>
      <c r="E170" s="54"/>
      <c r="F170" s="54"/>
      <c r="G170" s="54"/>
      <c r="H170" s="54"/>
      <c r="T170" s="2"/>
      <c r="V170" s="2"/>
    </row>
    <row r="171" spans="3:22" s="53" customFormat="1" x14ac:dyDescent="0.2">
      <c r="C171" s="54"/>
      <c r="D171" s="54"/>
      <c r="E171" s="54"/>
      <c r="F171" s="54"/>
      <c r="G171" s="54"/>
      <c r="H171" s="54"/>
      <c r="T171" s="2"/>
      <c r="V171" s="2"/>
    </row>
    <row r="172" spans="3:22" s="53" customFormat="1" x14ac:dyDescent="0.2">
      <c r="C172" s="54"/>
      <c r="D172" s="54"/>
      <c r="E172" s="54"/>
      <c r="F172" s="54"/>
      <c r="G172" s="54"/>
      <c r="H172" s="54"/>
      <c r="T172" s="2"/>
      <c r="V172" s="2"/>
    </row>
    <row r="173" spans="3:22" s="53" customFormat="1" x14ac:dyDescent="0.2">
      <c r="C173" s="54"/>
      <c r="D173" s="54"/>
      <c r="E173" s="54"/>
      <c r="F173" s="54"/>
      <c r="G173" s="54"/>
      <c r="H173" s="54"/>
      <c r="T173" s="2"/>
      <c r="V173" s="2"/>
    </row>
    <row r="174" spans="3:22" s="53" customFormat="1" x14ac:dyDescent="0.2">
      <c r="C174" s="54"/>
      <c r="D174" s="54"/>
      <c r="E174" s="54"/>
      <c r="F174" s="54"/>
      <c r="G174" s="54"/>
      <c r="H174" s="54"/>
      <c r="T174" s="2"/>
      <c r="V174" s="2"/>
    </row>
    <row r="175" spans="3:22" s="53" customFormat="1" x14ac:dyDescent="0.2">
      <c r="C175" s="54"/>
      <c r="D175" s="54"/>
      <c r="E175" s="54"/>
      <c r="F175" s="54"/>
      <c r="G175" s="54"/>
      <c r="H175" s="54"/>
      <c r="T175" s="2"/>
      <c r="V175" s="2"/>
    </row>
    <row r="176" spans="3:22" s="53" customFormat="1" x14ac:dyDescent="0.2">
      <c r="C176" s="54"/>
      <c r="D176" s="54"/>
      <c r="E176" s="54"/>
      <c r="F176" s="54"/>
      <c r="G176" s="54"/>
      <c r="H176" s="54"/>
      <c r="T176" s="2"/>
      <c r="V176" s="2"/>
    </row>
    <row r="177" spans="3:22" s="53" customFormat="1" x14ac:dyDescent="0.2">
      <c r="C177" s="54"/>
      <c r="D177" s="54"/>
      <c r="E177" s="54"/>
      <c r="F177" s="54"/>
      <c r="G177" s="54"/>
      <c r="H177" s="54"/>
      <c r="T177" s="2"/>
      <c r="V177" s="2"/>
    </row>
    <row r="178" spans="3:22" s="53" customFormat="1" x14ac:dyDescent="0.2">
      <c r="C178" s="54"/>
      <c r="D178" s="54"/>
      <c r="E178" s="54"/>
      <c r="F178" s="54"/>
      <c r="G178" s="54"/>
      <c r="H178" s="54"/>
      <c r="T178" s="2"/>
      <c r="V178" s="2"/>
    </row>
    <row r="179" spans="3:22" s="53" customFormat="1" x14ac:dyDescent="0.2">
      <c r="C179" s="54"/>
      <c r="D179" s="54"/>
      <c r="E179" s="54"/>
      <c r="F179" s="54"/>
      <c r="G179" s="54"/>
      <c r="H179" s="54"/>
      <c r="T179" s="2"/>
      <c r="V179" s="2"/>
    </row>
    <row r="180" spans="3:22" s="53" customFormat="1" x14ac:dyDescent="0.2">
      <c r="C180" s="54"/>
      <c r="D180" s="54"/>
      <c r="E180" s="54"/>
      <c r="F180" s="54"/>
      <c r="G180" s="54"/>
      <c r="H180" s="54"/>
      <c r="T180" s="2"/>
      <c r="V180" s="2"/>
    </row>
    <row r="181" spans="3:22" s="53" customFormat="1" x14ac:dyDescent="0.2">
      <c r="C181" s="54"/>
      <c r="D181" s="54"/>
      <c r="E181" s="54"/>
      <c r="F181" s="54"/>
      <c r="G181" s="54"/>
      <c r="H181" s="54"/>
      <c r="T181" s="2"/>
      <c r="V181" s="2"/>
    </row>
    <row r="182" spans="3:22" s="53" customFormat="1" x14ac:dyDescent="0.2">
      <c r="C182" s="54"/>
      <c r="D182" s="54"/>
      <c r="E182" s="54"/>
      <c r="F182" s="54"/>
      <c r="G182" s="54"/>
      <c r="H182" s="54"/>
      <c r="T182" s="2"/>
      <c r="V182" s="2"/>
    </row>
    <row r="183" spans="3:22" s="53" customFormat="1" x14ac:dyDescent="0.2">
      <c r="C183" s="54"/>
      <c r="D183" s="54"/>
      <c r="E183" s="54"/>
      <c r="F183" s="54"/>
      <c r="G183" s="54"/>
      <c r="H183" s="54"/>
      <c r="T183" s="2"/>
      <c r="V183" s="2"/>
    </row>
    <row r="184" spans="3:22" s="53" customFormat="1" x14ac:dyDescent="0.2">
      <c r="C184" s="54"/>
      <c r="D184" s="54"/>
      <c r="E184" s="54"/>
      <c r="F184" s="54"/>
      <c r="G184" s="54"/>
      <c r="H184" s="54"/>
      <c r="T184" s="2"/>
      <c r="V184" s="2"/>
    </row>
    <row r="185" spans="3:22" s="53" customFormat="1" x14ac:dyDescent="0.2">
      <c r="C185" s="54"/>
      <c r="D185" s="54"/>
      <c r="E185" s="54"/>
      <c r="F185" s="54"/>
      <c r="G185" s="54"/>
      <c r="H185" s="54"/>
      <c r="T185" s="2"/>
      <c r="V185" s="2"/>
    </row>
    <row r="186" spans="3:22" s="53" customFormat="1" x14ac:dyDescent="0.2">
      <c r="C186" s="54"/>
      <c r="D186" s="54"/>
      <c r="E186" s="54"/>
      <c r="F186" s="54"/>
      <c r="G186" s="54"/>
      <c r="H186" s="54"/>
      <c r="T186" s="2"/>
      <c r="V186" s="2"/>
    </row>
    <row r="187" spans="3:22" s="53" customFormat="1" x14ac:dyDescent="0.2">
      <c r="C187" s="54"/>
      <c r="D187" s="54"/>
      <c r="E187" s="54"/>
      <c r="F187" s="54"/>
      <c r="G187" s="54"/>
      <c r="H187" s="54"/>
      <c r="T187" s="2"/>
      <c r="V187" s="2"/>
    </row>
    <row r="188" spans="3:22" s="53" customFormat="1" x14ac:dyDescent="0.2">
      <c r="C188" s="54"/>
      <c r="D188" s="54"/>
      <c r="E188" s="54"/>
      <c r="F188" s="54"/>
      <c r="G188" s="54"/>
      <c r="H188" s="54"/>
      <c r="T188" s="2"/>
      <c r="V188" s="2"/>
    </row>
    <row r="189" spans="3:22" s="53" customFormat="1" x14ac:dyDescent="0.2">
      <c r="C189" s="54"/>
      <c r="D189" s="54"/>
      <c r="E189" s="54"/>
      <c r="F189" s="54"/>
      <c r="G189" s="54"/>
      <c r="H189" s="54"/>
      <c r="T189" s="2"/>
      <c r="V189" s="2"/>
    </row>
    <row r="190" spans="3:22" s="53" customFormat="1" x14ac:dyDescent="0.2">
      <c r="C190" s="54"/>
      <c r="D190" s="54"/>
      <c r="E190" s="54"/>
      <c r="F190" s="54"/>
      <c r="G190" s="54"/>
      <c r="H190" s="54"/>
      <c r="T190" s="2"/>
      <c r="V190" s="2"/>
    </row>
    <row r="191" spans="3:22" s="53" customFormat="1" x14ac:dyDescent="0.2">
      <c r="C191" s="54"/>
      <c r="D191" s="54"/>
      <c r="E191" s="54"/>
      <c r="F191" s="54"/>
      <c r="G191" s="54"/>
      <c r="H191" s="54"/>
      <c r="T191" s="2"/>
      <c r="V191" s="2"/>
    </row>
    <row r="192" spans="3:22" s="53" customFormat="1" x14ac:dyDescent="0.2">
      <c r="C192" s="54"/>
      <c r="D192" s="54"/>
      <c r="E192" s="54"/>
      <c r="F192" s="54"/>
      <c r="G192" s="54"/>
      <c r="H192" s="54"/>
      <c r="T192" s="2"/>
      <c r="V192" s="2"/>
    </row>
    <row r="193" spans="3:22" s="53" customFormat="1" x14ac:dyDescent="0.2">
      <c r="C193" s="54"/>
      <c r="D193" s="54"/>
      <c r="E193" s="54"/>
      <c r="F193" s="54"/>
      <c r="G193" s="54"/>
      <c r="H193" s="54"/>
      <c r="T193" s="2"/>
      <c r="V193" s="2"/>
    </row>
    <row r="194" spans="3:22" s="53" customFormat="1" x14ac:dyDescent="0.2">
      <c r="C194" s="54"/>
      <c r="D194" s="54"/>
      <c r="E194" s="54"/>
      <c r="F194" s="54"/>
      <c r="G194" s="54"/>
      <c r="H194" s="54"/>
      <c r="T194" s="2"/>
      <c r="V194" s="2"/>
    </row>
    <row r="195" spans="3:22" s="53" customFormat="1" x14ac:dyDescent="0.2">
      <c r="C195" s="54"/>
      <c r="D195" s="54"/>
      <c r="E195" s="54"/>
      <c r="F195" s="54"/>
      <c r="G195" s="54"/>
      <c r="H195" s="54"/>
      <c r="T195" s="2"/>
      <c r="V195" s="2"/>
    </row>
    <row r="196" spans="3:22" s="53" customFormat="1" x14ac:dyDescent="0.2">
      <c r="C196" s="54"/>
      <c r="D196" s="54"/>
      <c r="E196" s="54"/>
      <c r="F196" s="54"/>
      <c r="G196" s="54"/>
      <c r="H196" s="54"/>
      <c r="T196" s="2"/>
      <c r="V196" s="2"/>
    </row>
    <row r="197" spans="3:22" s="53" customFormat="1" x14ac:dyDescent="0.2">
      <c r="C197" s="54"/>
      <c r="D197" s="54"/>
      <c r="E197" s="54"/>
      <c r="F197" s="54"/>
      <c r="G197" s="54"/>
      <c r="H197" s="54"/>
      <c r="T197" s="2"/>
      <c r="V197" s="2"/>
    </row>
    <row r="198" spans="3:22" s="53" customFormat="1" x14ac:dyDescent="0.2">
      <c r="C198" s="54"/>
      <c r="D198" s="54"/>
      <c r="E198" s="54"/>
      <c r="F198" s="54"/>
      <c r="G198" s="54"/>
      <c r="H198" s="54"/>
      <c r="T198" s="2"/>
      <c r="V198" s="2"/>
    </row>
    <row r="199" spans="3:22" s="53" customFormat="1" x14ac:dyDescent="0.2">
      <c r="C199" s="54"/>
      <c r="D199" s="54"/>
      <c r="E199" s="54"/>
      <c r="F199" s="54"/>
      <c r="G199" s="54"/>
      <c r="H199" s="54"/>
      <c r="T199" s="2"/>
      <c r="V199" s="2"/>
    </row>
    <row r="200" spans="3:22" s="53" customFormat="1" x14ac:dyDescent="0.2">
      <c r="C200" s="54"/>
      <c r="D200" s="54"/>
      <c r="E200" s="54"/>
      <c r="F200" s="54"/>
      <c r="G200" s="54"/>
      <c r="H200" s="54"/>
      <c r="T200" s="2"/>
      <c r="V200" s="2"/>
    </row>
    <row r="201" spans="3:22" s="53" customFormat="1" x14ac:dyDescent="0.2">
      <c r="C201" s="54"/>
      <c r="D201" s="54"/>
      <c r="E201" s="54"/>
      <c r="F201" s="54"/>
      <c r="G201" s="54"/>
      <c r="H201" s="54"/>
      <c r="T201" s="2"/>
      <c r="V201" s="2"/>
    </row>
    <row r="202" spans="3:22" s="53" customFormat="1" x14ac:dyDescent="0.2">
      <c r="C202" s="54"/>
      <c r="D202" s="54"/>
      <c r="E202" s="54"/>
      <c r="F202" s="54"/>
      <c r="G202" s="54"/>
      <c r="H202" s="54"/>
      <c r="T202" s="2"/>
      <c r="V202" s="2"/>
    </row>
    <row r="203" spans="3:22" s="53" customFormat="1" x14ac:dyDescent="0.2">
      <c r="C203" s="54"/>
      <c r="D203" s="54"/>
      <c r="E203" s="54"/>
      <c r="F203" s="54"/>
      <c r="G203" s="54"/>
      <c r="H203" s="54"/>
      <c r="T203" s="2"/>
      <c r="V203" s="2"/>
    </row>
    <row r="204" spans="3:22" s="53" customFormat="1" x14ac:dyDescent="0.2">
      <c r="C204" s="54"/>
      <c r="D204" s="54"/>
      <c r="E204" s="54"/>
      <c r="F204" s="54"/>
      <c r="G204" s="54"/>
      <c r="H204" s="54"/>
      <c r="T204" s="2"/>
      <c r="V204" s="2"/>
    </row>
    <row r="205" spans="3:22" s="53" customFormat="1" x14ac:dyDescent="0.2">
      <c r="C205" s="54"/>
      <c r="D205" s="54"/>
      <c r="E205" s="54"/>
      <c r="F205" s="54"/>
      <c r="G205" s="54"/>
      <c r="H205" s="54"/>
      <c r="T205" s="2"/>
      <c r="V205" s="2"/>
    </row>
    <row r="206" spans="3:22" s="53" customFormat="1" x14ac:dyDescent="0.2">
      <c r="C206" s="54"/>
      <c r="D206" s="54"/>
      <c r="E206" s="54"/>
      <c r="F206" s="54"/>
      <c r="G206" s="54"/>
      <c r="H206" s="54"/>
      <c r="T206" s="2"/>
      <c r="V206" s="2"/>
    </row>
    <row r="207" spans="3:22" s="53" customFormat="1" x14ac:dyDescent="0.2">
      <c r="C207" s="54"/>
      <c r="D207" s="54"/>
      <c r="E207" s="54"/>
      <c r="F207" s="54"/>
      <c r="G207" s="54"/>
      <c r="H207" s="54"/>
      <c r="T207" s="2"/>
      <c r="V207" s="2"/>
    </row>
    <row r="208" spans="3:22" s="53" customFormat="1" x14ac:dyDescent="0.2">
      <c r="C208" s="54"/>
      <c r="D208" s="54"/>
      <c r="E208" s="54"/>
      <c r="F208" s="54"/>
      <c r="G208" s="54"/>
      <c r="H208" s="54"/>
      <c r="T208" s="2"/>
      <c r="V208" s="2"/>
    </row>
    <row r="209" spans="3:22" s="53" customFormat="1" x14ac:dyDescent="0.2">
      <c r="C209" s="54"/>
      <c r="D209" s="54"/>
      <c r="E209" s="54"/>
      <c r="F209" s="54"/>
      <c r="G209" s="54"/>
      <c r="H209" s="54"/>
      <c r="T209" s="2"/>
      <c r="V209" s="2"/>
    </row>
    <row r="210" spans="3:22" s="53" customFormat="1" x14ac:dyDescent="0.2">
      <c r="C210" s="54"/>
      <c r="D210" s="54"/>
      <c r="E210" s="54"/>
      <c r="F210" s="54"/>
      <c r="G210" s="54"/>
      <c r="H210" s="54"/>
      <c r="T210" s="2"/>
      <c r="V210" s="2"/>
    </row>
    <row r="211" spans="3:22" s="53" customFormat="1" x14ac:dyDescent="0.2">
      <c r="C211" s="54"/>
      <c r="D211" s="54"/>
      <c r="E211" s="54"/>
      <c r="F211" s="54"/>
      <c r="G211" s="54"/>
      <c r="H211" s="54"/>
      <c r="T211" s="2"/>
      <c r="V211" s="2"/>
    </row>
    <row r="212" spans="3:22" s="53" customFormat="1" x14ac:dyDescent="0.2">
      <c r="C212" s="54"/>
      <c r="D212" s="54"/>
      <c r="E212" s="54"/>
      <c r="F212" s="54"/>
      <c r="G212" s="54"/>
      <c r="H212" s="54"/>
      <c r="T212" s="2"/>
      <c r="V212" s="2"/>
    </row>
    <row r="213" spans="3:22" s="53" customFormat="1" x14ac:dyDescent="0.2">
      <c r="C213" s="54"/>
      <c r="D213" s="54"/>
      <c r="E213" s="54"/>
      <c r="F213" s="54"/>
      <c r="G213" s="54"/>
      <c r="H213" s="54"/>
      <c r="T213" s="2"/>
      <c r="V213" s="2"/>
    </row>
    <row r="214" spans="3:22" s="53" customFormat="1" x14ac:dyDescent="0.2">
      <c r="C214" s="54"/>
      <c r="D214" s="54"/>
      <c r="E214" s="54"/>
      <c r="F214" s="54"/>
      <c r="G214" s="54"/>
      <c r="H214" s="54"/>
      <c r="T214" s="2"/>
      <c r="V214" s="2"/>
    </row>
    <row r="215" spans="3:22" s="53" customFormat="1" x14ac:dyDescent="0.2">
      <c r="C215" s="54"/>
      <c r="D215" s="54"/>
      <c r="E215" s="54"/>
      <c r="F215" s="54"/>
      <c r="G215" s="54"/>
      <c r="H215" s="54"/>
      <c r="T215" s="2"/>
      <c r="V215" s="2"/>
    </row>
    <row r="216" spans="3:22" s="53" customFormat="1" x14ac:dyDescent="0.2">
      <c r="C216" s="54"/>
      <c r="D216" s="54"/>
      <c r="E216" s="54"/>
      <c r="F216" s="54"/>
      <c r="G216" s="54"/>
      <c r="H216" s="54"/>
      <c r="T216" s="2"/>
      <c r="V216" s="2"/>
    </row>
    <row r="217" spans="3:22" s="53" customFormat="1" x14ac:dyDescent="0.2">
      <c r="C217" s="54"/>
      <c r="D217" s="54"/>
      <c r="E217" s="54"/>
      <c r="F217" s="54"/>
      <c r="G217" s="54"/>
      <c r="H217" s="54"/>
      <c r="T217" s="2"/>
      <c r="V217" s="2"/>
    </row>
    <row r="218" spans="3:22" s="53" customFormat="1" x14ac:dyDescent="0.2">
      <c r="C218" s="54"/>
      <c r="D218" s="54"/>
      <c r="E218" s="54"/>
      <c r="F218" s="54"/>
      <c r="G218" s="54"/>
      <c r="H218" s="54"/>
      <c r="T218" s="2"/>
      <c r="V218" s="2"/>
    </row>
    <row r="219" spans="3:22" s="53" customFormat="1" x14ac:dyDescent="0.2">
      <c r="C219" s="54"/>
      <c r="D219" s="54"/>
      <c r="E219" s="54"/>
      <c r="F219" s="54"/>
      <c r="G219" s="54"/>
      <c r="H219" s="54"/>
      <c r="T219" s="2"/>
      <c r="V219" s="2"/>
    </row>
    <row r="220" spans="3:22" s="53" customFormat="1" x14ac:dyDescent="0.2">
      <c r="C220" s="54"/>
      <c r="D220" s="54"/>
      <c r="E220" s="54"/>
      <c r="F220" s="54"/>
      <c r="G220" s="54"/>
      <c r="H220" s="54"/>
      <c r="T220" s="2"/>
      <c r="V220" s="2"/>
    </row>
    <row r="221" spans="3:22" s="53" customFormat="1" x14ac:dyDescent="0.2">
      <c r="C221" s="54"/>
      <c r="D221" s="54"/>
      <c r="E221" s="54"/>
      <c r="F221" s="54"/>
      <c r="G221" s="54"/>
      <c r="H221" s="54"/>
      <c r="T221" s="2"/>
      <c r="V221" s="2"/>
    </row>
    <row r="222" spans="3:22" s="53" customFormat="1" x14ac:dyDescent="0.2">
      <c r="C222" s="54"/>
      <c r="D222" s="54"/>
      <c r="E222" s="54"/>
      <c r="F222" s="54"/>
      <c r="G222" s="54"/>
      <c r="H222" s="54"/>
      <c r="T222" s="2"/>
      <c r="V222" s="2"/>
    </row>
    <row r="223" spans="3:22" s="53" customFormat="1" x14ac:dyDescent="0.2">
      <c r="C223" s="54"/>
      <c r="D223" s="54"/>
      <c r="E223" s="54"/>
      <c r="F223" s="54"/>
      <c r="G223" s="54"/>
      <c r="H223" s="54"/>
      <c r="T223" s="2"/>
      <c r="V223" s="2"/>
    </row>
    <row r="224" spans="3:22" s="53" customFormat="1" x14ac:dyDescent="0.2">
      <c r="C224" s="54"/>
      <c r="D224" s="54"/>
      <c r="E224" s="54"/>
      <c r="F224" s="54"/>
      <c r="G224" s="54"/>
      <c r="H224" s="54"/>
      <c r="T224" s="2"/>
      <c r="V224" s="2"/>
    </row>
    <row r="225" spans="3:22" s="53" customFormat="1" x14ac:dyDescent="0.2">
      <c r="C225" s="54"/>
      <c r="D225" s="54"/>
      <c r="E225" s="54"/>
      <c r="F225" s="54"/>
      <c r="G225" s="54"/>
      <c r="H225" s="54"/>
      <c r="T225" s="2"/>
      <c r="V225" s="2"/>
    </row>
    <row r="226" spans="3:22" s="53" customFormat="1" x14ac:dyDescent="0.2">
      <c r="C226" s="54"/>
      <c r="D226" s="54"/>
      <c r="E226" s="54"/>
      <c r="F226" s="54"/>
      <c r="G226" s="54"/>
      <c r="H226" s="54"/>
      <c r="T226" s="2"/>
      <c r="V226" s="2"/>
    </row>
    <row r="227" spans="3:22" s="53" customFormat="1" x14ac:dyDescent="0.2">
      <c r="C227" s="54"/>
      <c r="D227" s="54"/>
      <c r="E227" s="54"/>
      <c r="F227" s="54"/>
      <c r="G227" s="54"/>
      <c r="H227" s="54"/>
      <c r="T227" s="2"/>
      <c r="V227" s="2"/>
    </row>
    <row r="228" spans="3:22" s="53" customFormat="1" x14ac:dyDescent="0.2">
      <c r="C228" s="54"/>
      <c r="D228" s="54"/>
      <c r="E228" s="54"/>
      <c r="F228" s="54"/>
      <c r="G228" s="54"/>
      <c r="H228" s="54"/>
      <c r="T228" s="2"/>
      <c r="V228" s="2"/>
    </row>
    <row r="229" spans="3:22" s="53" customFormat="1" x14ac:dyDescent="0.2">
      <c r="C229" s="54"/>
      <c r="D229" s="54"/>
      <c r="E229" s="54"/>
      <c r="F229" s="54"/>
      <c r="G229" s="54"/>
      <c r="H229" s="54"/>
      <c r="T229" s="2"/>
      <c r="V229" s="2"/>
    </row>
    <row r="230" spans="3:22" s="53" customFormat="1" x14ac:dyDescent="0.2">
      <c r="C230" s="54"/>
      <c r="D230" s="54"/>
      <c r="E230" s="54"/>
      <c r="F230" s="54"/>
      <c r="G230" s="54"/>
      <c r="H230" s="54"/>
      <c r="T230" s="2"/>
      <c r="V230" s="2"/>
    </row>
    <row r="231" spans="3:22" s="53" customFormat="1" x14ac:dyDescent="0.2">
      <c r="C231" s="54"/>
      <c r="D231" s="54"/>
      <c r="E231" s="54"/>
      <c r="F231" s="54"/>
      <c r="G231" s="54"/>
      <c r="H231" s="54"/>
      <c r="T231" s="2"/>
      <c r="V231" s="2"/>
    </row>
    <row r="232" spans="3:22" s="53" customFormat="1" x14ac:dyDescent="0.2">
      <c r="C232" s="54"/>
      <c r="D232" s="54"/>
      <c r="E232" s="54"/>
      <c r="F232" s="54"/>
      <c r="G232" s="54"/>
      <c r="H232" s="54"/>
      <c r="T232" s="2"/>
      <c r="V232" s="2"/>
    </row>
    <row r="233" spans="3:22" s="53" customFormat="1" x14ac:dyDescent="0.2">
      <c r="C233" s="54"/>
      <c r="D233" s="54"/>
      <c r="E233" s="54"/>
      <c r="F233" s="54"/>
      <c r="G233" s="54"/>
      <c r="H233" s="54"/>
      <c r="T233" s="2"/>
      <c r="V233" s="2"/>
    </row>
    <row r="234" spans="3:22" s="53" customFormat="1" x14ac:dyDescent="0.2">
      <c r="C234" s="54"/>
      <c r="D234" s="54"/>
      <c r="E234" s="54"/>
      <c r="F234" s="54"/>
      <c r="G234" s="54"/>
      <c r="H234" s="54"/>
      <c r="T234" s="2"/>
      <c r="V234" s="2"/>
    </row>
    <row r="235" spans="3:22" s="53" customFormat="1" x14ac:dyDescent="0.2">
      <c r="C235" s="54"/>
      <c r="D235" s="54"/>
      <c r="E235" s="54"/>
      <c r="F235" s="54"/>
      <c r="G235" s="54"/>
      <c r="H235" s="54"/>
      <c r="T235" s="2"/>
      <c r="V235" s="2"/>
    </row>
    <row r="236" spans="3:22" s="53" customFormat="1" x14ac:dyDescent="0.2">
      <c r="C236" s="54"/>
      <c r="D236" s="54"/>
      <c r="E236" s="54"/>
      <c r="F236" s="54"/>
      <c r="G236" s="54"/>
      <c r="H236" s="54"/>
      <c r="T236" s="2"/>
      <c r="V236" s="2"/>
    </row>
    <row r="237" spans="3:22" s="53" customFormat="1" x14ac:dyDescent="0.2">
      <c r="C237" s="54"/>
      <c r="D237" s="54"/>
      <c r="E237" s="54"/>
      <c r="F237" s="54"/>
      <c r="G237" s="54"/>
      <c r="H237" s="54"/>
      <c r="T237" s="2"/>
      <c r="V237" s="2"/>
    </row>
    <row r="238" spans="3:22" s="53" customFormat="1" x14ac:dyDescent="0.2">
      <c r="C238" s="54"/>
      <c r="D238" s="54"/>
      <c r="E238" s="54"/>
      <c r="F238" s="54"/>
      <c r="G238" s="54"/>
      <c r="H238" s="54"/>
      <c r="T238" s="2"/>
      <c r="V238" s="2"/>
    </row>
    <row r="239" spans="3:22" s="53" customFormat="1" x14ac:dyDescent="0.2">
      <c r="C239" s="54"/>
      <c r="D239" s="54"/>
      <c r="E239" s="54"/>
      <c r="F239" s="54"/>
      <c r="G239" s="54"/>
      <c r="H239" s="54"/>
      <c r="T239" s="2"/>
      <c r="V239" s="2"/>
    </row>
    <row r="240" spans="3:22" s="53" customFormat="1" x14ac:dyDescent="0.2">
      <c r="C240" s="54"/>
      <c r="D240" s="54"/>
      <c r="E240" s="54"/>
      <c r="F240" s="54"/>
      <c r="G240" s="54"/>
      <c r="H240" s="54"/>
      <c r="T240" s="2"/>
      <c r="V240" s="2"/>
    </row>
    <row r="241" spans="3:22" s="53" customFormat="1" x14ac:dyDescent="0.2">
      <c r="C241" s="54"/>
      <c r="D241" s="54"/>
      <c r="E241" s="54"/>
      <c r="F241" s="54"/>
      <c r="G241" s="54"/>
      <c r="H241" s="54"/>
      <c r="T241" s="2"/>
      <c r="V241" s="2"/>
    </row>
    <row r="242" spans="3:22" s="53" customFormat="1" x14ac:dyDescent="0.2">
      <c r="C242" s="54"/>
      <c r="D242" s="54"/>
      <c r="E242" s="54"/>
      <c r="F242" s="54"/>
      <c r="G242" s="54"/>
      <c r="H242" s="54"/>
      <c r="T242" s="2"/>
      <c r="V242" s="2"/>
    </row>
    <row r="243" spans="3:22" s="53" customFormat="1" x14ac:dyDescent="0.2">
      <c r="C243" s="54"/>
      <c r="D243" s="54"/>
      <c r="E243" s="54"/>
      <c r="F243" s="54"/>
      <c r="G243" s="54"/>
      <c r="H243" s="54"/>
      <c r="T243" s="2"/>
      <c r="V243" s="2"/>
    </row>
    <row r="244" spans="3:22" s="53" customFormat="1" x14ac:dyDescent="0.2">
      <c r="C244" s="54"/>
      <c r="D244" s="54"/>
      <c r="E244" s="54"/>
      <c r="F244" s="54"/>
      <c r="G244" s="54"/>
      <c r="H244" s="54"/>
      <c r="T244" s="2"/>
      <c r="V244" s="2"/>
    </row>
    <row r="245" spans="3:22" s="53" customFormat="1" x14ac:dyDescent="0.2">
      <c r="C245" s="54"/>
      <c r="D245" s="54"/>
      <c r="E245" s="54"/>
      <c r="F245" s="54"/>
      <c r="G245" s="54"/>
      <c r="H245" s="54"/>
      <c r="T245" s="2"/>
      <c r="V245" s="2"/>
    </row>
    <row r="246" spans="3:22" s="53" customFormat="1" x14ac:dyDescent="0.2">
      <c r="C246" s="54"/>
      <c r="D246" s="54"/>
      <c r="E246" s="54"/>
      <c r="F246" s="54"/>
      <c r="G246" s="54"/>
      <c r="H246" s="54"/>
      <c r="T246" s="2"/>
      <c r="V246" s="2"/>
    </row>
    <row r="247" spans="3:22" s="53" customFormat="1" x14ac:dyDescent="0.2">
      <c r="C247" s="54"/>
      <c r="D247" s="54"/>
      <c r="E247" s="54"/>
      <c r="F247" s="54"/>
      <c r="G247" s="54"/>
      <c r="H247" s="54"/>
      <c r="T247" s="2"/>
      <c r="V247" s="2"/>
    </row>
    <row r="248" spans="3:22" s="53" customFormat="1" x14ac:dyDescent="0.2">
      <c r="C248" s="54"/>
      <c r="D248" s="54"/>
      <c r="E248" s="54"/>
      <c r="F248" s="54"/>
      <c r="G248" s="54"/>
      <c r="H248" s="54"/>
      <c r="T248" s="2"/>
      <c r="V248" s="2"/>
    </row>
    <row r="249" spans="3:22" s="53" customFormat="1" x14ac:dyDescent="0.2">
      <c r="C249" s="54"/>
      <c r="D249" s="54"/>
      <c r="E249" s="54"/>
      <c r="F249" s="54"/>
      <c r="G249" s="54"/>
      <c r="H249" s="54"/>
      <c r="T249" s="2"/>
      <c r="V249" s="2"/>
    </row>
    <row r="250" spans="3:22" s="53" customFormat="1" x14ac:dyDescent="0.2">
      <c r="C250" s="54"/>
      <c r="D250" s="54"/>
      <c r="E250" s="54"/>
      <c r="F250" s="54"/>
      <c r="G250" s="54"/>
      <c r="H250" s="54"/>
      <c r="T250" s="2"/>
      <c r="V250" s="2"/>
    </row>
    <row r="251" spans="3:22" s="53" customFormat="1" x14ac:dyDescent="0.2">
      <c r="C251" s="54"/>
      <c r="D251" s="54"/>
      <c r="E251" s="54"/>
      <c r="F251" s="54"/>
      <c r="G251" s="54"/>
      <c r="H251" s="54"/>
      <c r="T251" s="2"/>
      <c r="V251" s="2"/>
    </row>
    <row r="252" spans="3:22" s="53" customFormat="1" x14ac:dyDescent="0.2">
      <c r="C252" s="54"/>
      <c r="D252" s="54"/>
      <c r="E252" s="54"/>
      <c r="F252" s="54"/>
      <c r="G252" s="54"/>
      <c r="H252" s="54"/>
      <c r="T252" s="2"/>
      <c r="V252" s="2"/>
    </row>
    <row r="253" spans="3:22" s="53" customFormat="1" x14ac:dyDescent="0.2">
      <c r="C253" s="54"/>
      <c r="D253" s="54"/>
      <c r="E253" s="54"/>
      <c r="F253" s="54"/>
      <c r="G253" s="54"/>
      <c r="H253" s="54"/>
      <c r="T253" s="2"/>
      <c r="V253" s="2"/>
    </row>
    <row r="254" spans="3:22" s="53" customFormat="1" x14ac:dyDescent="0.2">
      <c r="C254" s="54"/>
      <c r="D254" s="54"/>
      <c r="E254" s="54"/>
      <c r="F254" s="54"/>
      <c r="G254" s="54"/>
      <c r="H254" s="54"/>
      <c r="T254" s="2"/>
      <c r="V254" s="2"/>
    </row>
    <row r="255" spans="3:22" s="53" customFormat="1" x14ac:dyDescent="0.2">
      <c r="C255" s="54"/>
      <c r="D255" s="54"/>
      <c r="E255" s="54"/>
      <c r="F255" s="54"/>
      <c r="G255" s="54"/>
      <c r="H255" s="54"/>
      <c r="T255" s="2"/>
      <c r="V255" s="2"/>
    </row>
    <row r="256" spans="3:22" s="53" customFormat="1" x14ac:dyDescent="0.2">
      <c r="C256" s="54"/>
      <c r="D256" s="54"/>
      <c r="E256" s="54"/>
      <c r="F256" s="54"/>
      <c r="G256" s="54"/>
      <c r="H256" s="54"/>
      <c r="T256" s="2"/>
      <c r="V256" s="2"/>
    </row>
    <row r="257" spans="3:22" s="53" customFormat="1" x14ac:dyDescent="0.2">
      <c r="C257" s="54"/>
      <c r="D257" s="54"/>
      <c r="E257" s="54"/>
      <c r="F257" s="54"/>
      <c r="G257" s="54"/>
      <c r="H257" s="54"/>
      <c r="T257" s="2"/>
      <c r="V257" s="2"/>
    </row>
    <row r="258" spans="3:22" s="53" customFormat="1" x14ac:dyDescent="0.2">
      <c r="C258" s="54"/>
      <c r="D258" s="54"/>
      <c r="E258" s="54"/>
      <c r="F258" s="54"/>
      <c r="G258" s="54"/>
      <c r="H258" s="54"/>
      <c r="T258" s="2"/>
      <c r="V258" s="2"/>
    </row>
    <row r="259" spans="3:22" s="53" customFormat="1" x14ac:dyDescent="0.2">
      <c r="C259" s="54"/>
      <c r="D259" s="54"/>
      <c r="E259" s="54"/>
      <c r="F259" s="54"/>
      <c r="G259" s="54"/>
      <c r="H259" s="54"/>
      <c r="T259" s="2"/>
      <c r="V259" s="2"/>
    </row>
    <row r="260" spans="3:22" s="53" customFormat="1" x14ac:dyDescent="0.2">
      <c r="C260" s="54"/>
      <c r="D260" s="54"/>
      <c r="E260" s="54"/>
      <c r="F260" s="54"/>
      <c r="G260" s="54"/>
      <c r="H260" s="54"/>
      <c r="T260" s="2"/>
      <c r="V260" s="2"/>
    </row>
    <row r="261" spans="3:22" s="53" customFormat="1" x14ac:dyDescent="0.2">
      <c r="C261" s="54"/>
      <c r="D261" s="54"/>
      <c r="E261" s="54"/>
      <c r="F261" s="54"/>
      <c r="G261" s="54"/>
      <c r="H261" s="54"/>
      <c r="T261" s="2"/>
      <c r="V261" s="2"/>
    </row>
    <row r="262" spans="3:22" s="53" customFormat="1" x14ac:dyDescent="0.2">
      <c r="C262" s="54"/>
      <c r="D262" s="54"/>
      <c r="E262" s="54"/>
      <c r="F262" s="54"/>
      <c r="G262" s="54"/>
      <c r="H262" s="54"/>
      <c r="T262" s="2"/>
      <c r="V262" s="2"/>
    </row>
    <row r="263" spans="3:22" s="53" customFormat="1" x14ac:dyDescent="0.2">
      <c r="C263" s="54"/>
      <c r="D263" s="54"/>
      <c r="E263" s="54"/>
      <c r="F263" s="54"/>
      <c r="G263" s="54"/>
      <c r="H263" s="54"/>
      <c r="T263" s="2"/>
      <c r="V263" s="2"/>
    </row>
    <row r="264" spans="3:22" s="53" customFormat="1" x14ac:dyDescent="0.2">
      <c r="C264" s="54"/>
      <c r="D264" s="54"/>
      <c r="E264" s="54"/>
      <c r="F264" s="54"/>
      <c r="G264" s="54"/>
      <c r="H264" s="54"/>
      <c r="T264" s="2"/>
      <c r="V264" s="2"/>
    </row>
    <row r="265" spans="3:22" s="53" customFormat="1" x14ac:dyDescent="0.2">
      <c r="C265" s="54"/>
      <c r="D265" s="54"/>
      <c r="E265" s="54"/>
      <c r="F265" s="54"/>
      <c r="G265" s="54"/>
      <c r="H265" s="54"/>
      <c r="T265" s="2"/>
      <c r="V265" s="2"/>
    </row>
    <row r="266" spans="3:22" s="53" customFormat="1" x14ac:dyDescent="0.2">
      <c r="C266" s="54"/>
      <c r="D266" s="54"/>
      <c r="E266" s="54"/>
      <c r="F266" s="54"/>
      <c r="G266" s="54"/>
      <c r="H266" s="54"/>
      <c r="T266" s="2"/>
      <c r="V266" s="2"/>
    </row>
    <row r="267" spans="3:22" s="53" customFormat="1" x14ac:dyDescent="0.2">
      <c r="C267" s="54"/>
      <c r="D267" s="54"/>
      <c r="E267" s="54"/>
      <c r="F267" s="54"/>
      <c r="G267" s="54"/>
      <c r="H267" s="54"/>
      <c r="T267" s="2"/>
      <c r="V267" s="2"/>
    </row>
    <row r="268" spans="3:22" s="53" customFormat="1" x14ac:dyDescent="0.2">
      <c r="C268" s="54"/>
      <c r="D268" s="54"/>
      <c r="E268" s="54"/>
      <c r="F268" s="54"/>
      <c r="G268" s="54"/>
      <c r="H268" s="54"/>
      <c r="T268" s="2"/>
      <c r="V268" s="2"/>
    </row>
    <row r="269" spans="3:22" s="53" customFormat="1" x14ac:dyDescent="0.2">
      <c r="C269" s="54"/>
      <c r="D269" s="54"/>
      <c r="E269" s="54"/>
      <c r="F269" s="54"/>
      <c r="G269" s="54"/>
      <c r="H269" s="54"/>
      <c r="T269" s="2"/>
      <c r="V269" s="2"/>
    </row>
    <row r="270" spans="3:22" s="53" customFormat="1" x14ac:dyDescent="0.2">
      <c r="C270" s="54"/>
      <c r="D270" s="54"/>
      <c r="E270" s="54"/>
      <c r="F270" s="54"/>
      <c r="G270" s="54"/>
      <c r="H270" s="54"/>
      <c r="T270" s="2"/>
      <c r="V270" s="2"/>
    </row>
    <row r="271" spans="3:22" s="53" customFormat="1" x14ac:dyDescent="0.2">
      <c r="C271" s="54"/>
      <c r="D271" s="54"/>
      <c r="E271" s="54"/>
      <c r="F271" s="54"/>
      <c r="G271" s="54"/>
      <c r="H271" s="54"/>
      <c r="T271" s="2"/>
      <c r="V271" s="2"/>
    </row>
    <row r="272" spans="3:22" s="53" customFormat="1" x14ac:dyDescent="0.2">
      <c r="C272" s="54"/>
      <c r="D272" s="54"/>
      <c r="E272" s="54"/>
      <c r="F272" s="54"/>
      <c r="G272" s="54"/>
      <c r="H272" s="54"/>
      <c r="T272" s="2"/>
      <c r="V272" s="2"/>
    </row>
    <row r="273" spans="3:22" s="53" customFormat="1" x14ac:dyDescent="0.2">
      <c r="C273" s="54"/>
      <c r="D273" s="54"/>
      <c r="E273" s="54"/>
      <c r="F273" s="54"/>
      <c r="G273" s="54"/>
      <c r="H273" s="54"/>
      <c r="T273" s="2"/>
      <c r="V273" s="2"/>
    </row>
    <row r="274" spans="3:22" s="53" customFormat="1" x14ac:dyDescent="0.2">
      <c r="C274" s="54"/>
      <c r="D274" s="54"/>
      <c r="E274" s="54"/>
      <c r="F274" s="54"/>
      <c r="G274" s="54"/>
      <c r="H274" s="54"/>
      <c r="T274" s="2"/>
      <c r="V274" s="2"/>
    </row>
    <row r="275" spans="3:22" s="53" customFormat="1" x14ac:dyDescent="0.2">
      <c r="C275" s="54"/>
      <c r="D275" s="54"/>
      <c r="E275" s="54"/>
      <c r="F275" s="54"/>
      <c r="G275" s="54"/>
      <c r="H275" s="54"/>
      <c r="T275" s="2"/>
      <c r="V275" s="2"/>
    </row>
    <row r="276" spans="3:22" s="53" customFormat="1" x14ac:dyDescent="0.2">
      <c r="C276" s="54"/>
      <c r="D276" s="54"/>
      <c r="E276" s="54"/>
      <c r="F276" s="54"/>
      <c r="G276" s="54"/>
      <c r="H276" s="54"/>
      <c r="T276" s="2"/>
      <c r="V276" s="2"/>
    </row>
    <row r="277" spans="3:22" s="53" customFormat="1" x14ac:dyDescent="0.2">
      <c r="C277" s="54"/>
      <c r="D277" s="54"/>
      <c r="E277" s="54"/>
      <c r="F277" s="54"/>
      <c r="G277" s="54"/>
      <c r="H277" s="54"/>
      <c r="T277" s="2"/>
      <c r="V277" s="2"/>
    </row>
    <row r="278" spans="3:22" s="53" customFormat="1" x14ac:dyDescent="0.2">
      <c r="C278" s="54"/>
      <c r="D278" s="54"/>
      <c r="E278" s="54"/>
      <c r="F278" s="54"/>
      <c r="G278" s="54"/>
      <c r="H278" s="54"/>
      <c r="T278" s="2"/>
      <c r="V278" s="2"/>
    </row>
    <row r="279" spans="3:22" s="53" customFormat="1" x14ac:dyDescent="0.2">
      <c r="C279" s="54"/>
      <c r="D279" s="54"/>
      <c r="E279" s="54"/>
      <c r="F279" s="54"/>
      <c r="G279" s="54"/>
      <c r="H279" s="54"/>
      <c r="T279" s="2"/>
      <c r="V279" s="2"/>
    </row>
    <row r="280" spans="3:22" s="53" customFormat="1" x14ac:dyDescent="0.2">
      <c r="C280" s="54"/>
      <c r="D280" s="54"/>
      <c r="E280" s="54"/>
      <c r="F280" s="54"/>
      <c r="G280" s="54"/>
      <c r="H280" s="54"/>
      <c r="T280" s="2"/>
      <c r="V280" s="2"/>
    </row>
    <row r="281" spans="3:22" s="53" customFormat="1" x14ac:dyDescent="0.2">
      <c r="C281" s="54"/>
      <c r="D281" s="54"/>
      <c r="E281" s="54"/>
      <c r="F281" s="54"/>
      <c r="G281" s="54"/>
      <c r="H281" s="54"/>
      <c r="T281" s="2"/>
      <c r="V281" s="2"/>
    </row>
    <row r="282" spans="3:22" s="53" customFormat="1" x14ac:dyDescent="0.2">
      <c r="C282" s="54"/>
      <c r="D282" s="54"/>
      <c r="E282" s="54"/>
      <c r="F282" s="54"/>
      <c r="G282" s="54"/>
      <c r="H282" s="54"/>
      <c r="T282" s="2"/>
      <c r="V282" s="2"/>
    </row>
    <row r="283" spans="3:22" s="53" customFormat="1" x14ac:dyDescent="0.2">
      <c r="C283" s="54"/>
      <c r="D283" s="54"/>
      <c r="E283" s="54"/>
      <c r="F283" s="54"/>
      <c r="G283" s="54"/>
      <c r="H283" s="54"/>
      <c r="T283" s="2"/>
      <c r="V283" s="2"/>
    </row>
    <row r="284" spans="3:22" s="53" customFormat="1" x14ac:dyDescent="0.2">
      <c r="C284" s="54"/>
      <c r="D284" s="54"/>
      <c r="E284" s="54"/>
      <c r="F284" s="54"/>
      <c r="G284" s="54"/>
      <c r="H284" s="54"/>
      <c r="T284" s="2"/>
      <c r="V284" s="2"/>
    </row>
    <row r="285" spans="3:22" s="53" customFormat="1" x14ac:dyDescent="0.2">
      <c r="C285" s="54"/>
      <c r="D285" s="54"/>
      <c r="E285" s="54"/>
      <c r="F285" s="54"/>
      <c r="G285" s="54"/>
      <c r="H285" s="54"/>
      <c r="T285" s="2"/>
      <c r="V285" s="2"/>
    </row>
    <row r="286" spans="3:22" s="53" customFormat="1" x14ac:dyDescent="0.2">
      <c r="C286" s="54"/>
      <c r="D286" s="54"/>
      <c r="E286" s="54"/>
      <c r="F286" s="54"/>
      <c r="G286" s="54"/>
      <c r="H286" s="54"/>
      <c r="T286" s="2"/>
      <c r="V286" s="2"/>
    </row>
    <row r="287" spans="3:22" s="53" customFormat="1" x14ac:dyDescent="0.2">
      <c r="C287" s="54"/>
      <c r="D287" s="54"/>
      <c r="E287" s="54"/>
      <c r="F287" s="54"/>
      <c r="G287" s="54"/>
      <c r="H287" s="54"/>
      <c r="T287" s="2"/>
      <c r="V287" s="2"/>
    </row>
    <row r="288" spans="3:22" s="53" customFormat="1" x14ac:dyDescent="0.2">
      <c r="C288" s="54"/>
      <c r="D288" s="54"/>
      <c r="E288" s="54"/>
      <c r="F288" s="54"/>
      <c r="G288" s="54"/>
      <c r="H288" s="54"/>
      <c r="T288" s="2"/>
      <c r="V288" s="2"/>
    </row>
    <row r="289" spans="3:22" s="53" customFormat="1" x14ac:dyDescent="0.2">
      <c r="C289" s="54"/>
      <c r="D289" s="54"/>
      <c r="E289" s="54"/>
      <c r="F289" s="54"/>
      <c r="G289" s="54"/>
      <c r="H289" s="54"/>
      <c r="T289" s="2"/>
      <c r="V289" s="2"/>
    </row>
    <row r="290" spans="3:22" s="53" customFormat="1" x14ac:dyDescent="0.2">
      <c r="C290" s="54"/>
      <c r="D290" s="54"/>
      <c r="E290" s="54"/>
      <c r="F290" s="54"/>
      <c r="G290" s="54"/>
      <c r="H290" s="54"/>
      <c r="T290" s="2"/>
      <c r="V290" s="2"/>
    </row>
    <row r="291" spans="3:22" s="53" customFormat="1" x14ac:dyDescent="0.2">
      <c r="C291" s="54"/>
      <c r="D291" s="54"/>
      <c r="E291" s="54"/>
      <c r="F291" s="54"/>
      <c r="G291" s="54"/>
      <c r="H291" s="54"/>
      <c r="T291" s="2"/>
      <c r="V291" s="2"/>
    </row>
    <row r="292" spans="3:22" s="53" customFormat="1" x14ac:dyDescent="0.2">
      <c r="C292" s="54"/>
      <c r="D292" s="54"/>
      <c r="E292" s="54"/>
      <c r="F292" s="54"/>
      <c r="G292" s="54"/>
      <c r="H292" s="54"/>
      <c r="T292" s="2"/>
      <c r="V292" s="2"/>
    </row>
    <row r="293" spans="3:22" s="53" customFormat="1" x14ac:dyDescent="0.2">
      <c r="C293" s="54"/>
      <c r="D293" s="54"/>
      <c r="E293" s="54"/>
      <c r="F293" s="54"/>
      <c r="G293" s="54"/>
      <c r="H293" s="54"/>
      <c r="T293" s="2"/>
      <c r="V293" s="2"/>
    </row>
    <row r="294" spans="3:22" s="53" customFormat="1" x14ac:dyDescent="0.2">
      <c r="C294" s="54"/>
      <c r="D294" s="54"/>
      <c r="E294" s="54"/>
      <c r="F294" s="54"/>
      <c r="G294" s="54"/>
      <c r="H294" s="54"/>
      <c r="T294" s="2"/>
      <c r="V294" s="2"/>
    </row>
    <row r="295" spans="3:22" s="53" customFormat="1" x14ac:dyDescent="0.2">
      <c r="C295" s="54"/>
      <c r="D295" s="54"/>
      <c r="E295" s="54"/>
      <c r="F295" s="54"/>
      <c r="G295" s="54"/>
      <c r="H295" s="54"/>
      <c r="T295" s="2"/>
      <c r="V295" s="2"/>
    </row>
    <row r="296" spans="3:22" s="53" customFormat="1" x14ac:dyDescent="0.2">
      <c r="C296" s="54"/>
      <c r="D296" s="54"/>
      <c r="E296" s="54"/>
      <c r="F296" s="54"/>
      <c r="G296" s="54"/>
      <c r="H296" s="54"/>
      <c r="T296" s="2"/>
      <c r="V296" s="2"/>
    </row>
    <row r="297" spans="3:22" s="53" customFormat="1" x14ac:dyDescent="0.2">
      <c r="C297" s="54"/>
      <c r="D297" s="54"/>
      <c r="E297" s="54"/>
      <c r="F297" s="54"/>
      <c r="G297" s="54"/>
      <c r="H297" s="54"/>
      <c r="T297" s="2"/>
      <c r="V297" s="2"/>
    </row>
    <row r="298" spans="3:22" s="53" customFormat="1" x14ac:dyDescent="0.2">
      <c r="C298" s="54"/>
      <c r="D298" s="54"/>
      <c r="E298" s="54"/>
      <c r="F298" s="54"/>
      <c r="G298" s="54"/>
      <c r="H298" s="54"/>
      <c r="T298" s="2"/>
      <c r="V298" s="2"/>
    </row>
    <row r="299" spans="3:22" s="53" customFormat="1" x14ac:dyDescent="0.2">
      <c r="C299" s="54"/>
      <c r="D299" s="54"/>
      <c r="E299" s="54"/>
      <c r="F299" s="54"/>
      <c r="G299" s="54"/>
      <c r="H299" s="54"/>
      <c r="T299" s="2"/>
      <c r="V299" s="2"/>
    </row>
    <row r="300" spans="3:22" s="53" customFormat="1" x14ac:dyDescent="0.2">
      <c r="C300" s="54"/>
      <c r="D300" s="54"/>
      <c r="E300" s="54"/>
      <c r="F300" s="54"/>
      <c r="G300" s="54"/>
      <c r="H300" s="54"/>
      <c r="T300" s="2"/>
      <c r="V300" s="2"/>
    </row>
    <row r="301" spans="3:22" s="53" customFormat="1" x14ac:dyDescent="0.2">
      <c r="C301" s="54"/>
      <c r="D301" s="54"/>
      <c r="E301" s="54"/>
      <c r="F301" s="54"/>
      <c r="G301" s="54"/>
      <c r="H301" s="54"/>
      <c r="T301" s="2"/>
      <c r="V301" s="2"/>
    </row>
    <row r="302" spans="3:22" s="53" customFormat="1" x14ac:dyDescent="0.2">
      <c r="C302" s="54"/>
      <c r="D302" s="54"/>
      <c r="E302" s="54"/>
      <c r="F302" s="54"/>
      <c r="G302" s="54"/>
      <c r="H302" s="54"/>
      <c r="T302" s="2"/>
      <c r="V302" s="2"/>
    </row>
    <row r="303" spans="3:22" s="53" customFormat="1" x14ac:dyDescent="0.2">
      <c r="C303" s="54"/>
      <c r="D303" s="54"/>
      <c r="E303" s="54"/>
      <c r="F303" s="54"/>
      <c r="G303" s="54"/>
      <c r="H303" s="54"/>
      <c r="T303" s="2"/>
      <c r="V303" s="2"/>
    </row>
    <row r="304" spans="3:22" s="53" customFormat="1" x14ac:dyDescent="0.2">
      <c r="C304" s="54"/>
      <c r="D304" s="54"/>
      <c r="E304" s="54"/>
      <c r="F304" s="54"/>
      <c r="G304" s="54"/>
      <c r="H304" s="54"/>
      <c r="T304" s="2"/>
      <c r="V304" s="2"/>
    </row>
    <row r="305" spans="3:22" s="53" customFormat="1" x14ac:dyDescent="0.2">
      <c r="C305" s="54"/>
      <c r="D305" s="54"/>
      <c r="E305" s="54"/>
      <c r="F305" s="54"/>
      <c r="G305" s="54"/>
      <c r="H305" s="54"/>
      <c r="T305" s="2"/>
      <c r="V305" s="2"/>
    </row>
    <row r="306" spans="3:22" s="53" customFormat="1" x14ac:dyDescent="0.2">
      <c r="C306" s="54"/>
      <c r="D306" s="54"/>
      <c r="E306" s="54"/>
      <c r="F306" s="54"/>
      <c r="G306" s="54"/>
      <c r="H306" s="54"/>
      <c r="T306" s="2"/>
      <c r="V306" s="2"/>
    </row>
    <row r="307" spans="3:22" s="53" customFormat="1" x14ac:dyDescent="0.2">
      <c r="C307" s="54"/>
      <c r="D307" s="54"/>
      <c r="E307" s="54"/>
      <c r="F307" s="54"/>
      <c r="G307" s="54"/>
      <c r="H307" s="54"/>
      <c r="T307" s="2"/>
      <c r="V307" s="2"/>
    </row>
    <row r="308" spans="3:22" s="53" customFormat="1" x14ac:dyDescent="0.2">
      <c r="C308" s="54"/>
      <c r="D308" s="54"/>
      <c r="E308" s="54"/>
      <c r="F308" s="54"/>
      <c r="G308" s="54"/>
      <c r="H308" s="54"/>
      <c r="T308" s="2"/>
      <c r="V308" s="2"/>
    </row>
    <row r="309" spans="3:22" s="53" customFormat="1" x14ac:dyDescent="0.2">
      <c r="C309" s="54"/>
      <c r="D309" s="54"/>
      <c r="E309" s="54"/>
      <c r="F309" s="54"/>
      <c r="G309" s="54"/>
      <c r="H309" s="54"/>
      <c r="T309" s="2"/>
      <c r="V309" s="2"/>
    </row>
    <row r="310" spans="3:22" s="53" customFormat="1" x14ac:dyDescent="0.2">
      <c r="C310" s="54"/>
      <c r="D310" s="54"/>
      <c r="E310" s="54"/>
      <c r="F310" s="54"/>
      <c r="G310" s="54"/>
      <c r="H310" s="54"/>
      <c r="T310" s="2"/>
      <c r="V310" s="2"/>
    </row>
    <row r="311" spans="3:22" s="53" customFormat="1" x14ac:dyDescent="0.2">
      <c r="C311" s="54"/>
      <c r="D311" s="54"/>
      <c r="E311" s="54"/>
      <c r="F311" s="54"/>
      <c r="G311" s="54"/>
      <c r="H311" s="54"/>
      <c r="T311" s="2"/>
      <c r="V311" s="2"/>
    </row>
    <row r="312" spans="3:22" s="53" customFormat="1" x14ac:dyDescent="0.2">
      <c r="C312" s="54"/>
      <c r="D312" s="54"/>
      <c r="E312" s="54"/>
      <c r="F312" s="54"/>
      <c r="G312" s="54"/>
      <c r="H312" s="54"/>
      <c r="T312" s="2"/>
      <c r="V312" s="2"/>
    </row>
    <row r="313" spans="3:22" s="53" customFormat="1" x14ac:dyDescent="0.2">
      <c r="C313" s="54"/>
      <c r="D313" s="54"/>
      <c r="E313" s="54"/>
      <c r="F313" s="54"/>
      <c r="G313" s="54"/>
      <c r="H313" s="54"/>
      <c r="T313" s="2"/>
      <c r="V313" s="2"/>
    </row>
    <row r="314" spans="3:22" s="53" customFormat="1" x14ac:dyDescent="0.2">
      <c r="C314" s="54"/>
      <c r="D314" s="54"/>
      <c r="E314" s="54"/>
      <c r="F314" s="54"/>
      <c r="G314" s="54"/>
      <c r="H314" s="54"/>
      <c r="T314" s="2"/>
      <c r="V314" s="2"/>
    </row>
    <row r="315" spans="3:22" s="53" customFormat="1" x14ac:dyDescent="0.2">
      <c r="C315" s="54"/>
      <c r="D315" s="54"/>
      <c r="E315" s="54"/>
      <c r="F315" s="54"/>
      <c r="G315" s="54"/>
      <c r="H315" s="54"/>
      <c r="T315" s="2"/>
      <c r="V315" s="2"/>
    </row>
    <row r="316" spans="3:22" s="53" customFormat="1" x14ac:dyDescent="0.2">
      <c r="C316" s="54"/>
      <c r="D316" s="54"/>
      <c r="E316" s="54"/>
      <c r="F316" s="54"/>
      <c r="G316" s="54"/>
      <c r="H316" s="54"/>
      <c r="T316" s="2"/>
      <c r="V316" s="2"/>
    </row>
    <row r="317" spans="3:22" s="53" customFormat="1" x14ac:dyDescent="0.2">
      <c r="C317" s="54"/>
      <c r="D317" s="54"/>
      <c r="E317" s="54"/>
      <c r="F317" s="54"/>
      <c r="G317" s="54"/>
      <c r="H317" s="54"/>
      <c r="T317" s="2"/>
      <c r="V317" s="2"/>
    </row>
    <row r="318" spans="3:22" s="53" customFormat="1" x14ac:dyDescent="0.2">
      <c r="C318" s="54"/>
      <c r="D318" s="54"/>
      <c r="E318" s="54"/>
      <c r="F318" s="54"/>
      <c r="G318" s="54"/>
      <c r="H318" s="54"/>
      <c r="T318" s="2"/>
      <c r="V318" s="2"/>
    </row>
    <row r="319" spans="3:22" s="53" customFormat="1" x14ac:dyDescent="0.2">
      <c r="C319" s="54"/>
      <c r="D319" s="54"/>
      <c r="E319" s="54"/>
      <c r="F319" s="54"/>
      <c r="G319" s="54"/>
      <c r="H319" s="54"/>
      <c r="T319" s="2"/>
      <c r="V319" s="2"/>
    </row>
    <row r="320" spans="3:22" s="53" customFormat="1" x14ac:dyDescent="0.2">
      <c r="C320" s="54"/>
      <c r="D320" s="54"/>
      <c r="E320" s="54"/>
      <c r="F320" s="54"/>
      <c r="G320" s="54"/>
      <c r="H320" s="54"/>
      <c r="T320" s="2"/>
      <c r="V320" s="2"/>
    </row>
    <row r="321" spans="3:22" s="53" customFormat="1" x14ac:dyDescent="0.2">
      <c r="C321" s="54"/>
      <c r="D321" s="54"/>
      <c r="E321" s="54"/>
      <c r="F321" s="54"/>
      <c r="G321" s="54"/>
      <c r="H321" s="54"/>
      <c r="T321" s="2"/>
      <c r="V321" s="2"/>
    </row>
    <row r="322" spans="3:22" s="53" customFormat="1" x14ac:dyDescent="0.2">
      <c r="C322" s="54"/>
      <c r="D322" s="54"/>
      <c r="E322" s="54"/>
      <c r="F322" s="54"/>
      <c r="G322" s="54"/>
      <c r="H322" s="54"/>
      <c r="T322" s="2"/>
      <c r="V322" s="2"/>
    </row>
    <row r="323" spans="3:22" s="53" customFormat="1" x14ac:dyDescent="0.2">
      <c r="C323" s="54"/>
      <c r="D323" s="54"/>
      <c r="E323" s="54"/>
      <c r="F323" s="54"/>
      <c r="G323" s="54"/>
      <c r="H323" s="54"/>
      <c r="T323" s="2"/>
      <c r="V323" s="2"/>
    </row>
    <row r="324" spans="3:22" s="53" customFormat="1" x14ac:dyDescent="0.2">
      <c r="C324" s="54"/>
      <c r="D324" s="54"/>
      <c r="E324" s="54"/>
      <c r="F324" s="54"/>
      <c r="G324" s="54"/>
      <c r="H324" s="54"/>
      <c r="T324" s="2"/>
      <c r="V324" s="2"/>
    </row>
    <row r="325" spans="3:22" s="53" customFormat="1" x14ac:dyDescent="0.2">
      <c r="C325" s="54"/>
      <c r="D325" s="54"/>
      <c r="E325" s="54"/>
      <c r="F325" s="54"/>
      <c r="G325" s="54"/>
      <c r="H325" s="54"/>
      <c r="T325" s="2"/>
      <c r="V325" s="2"/>
    </row>
    <row r="326" spans="3:22" s="53" customFormat="1" x14ac:dyDescent="0.2">
      <c r="C326" s="54"/>
      <c r="D326" s="54"/>
      <c r="E326" s="54"/>
      <c r="F326" s="54"/>
      <c r="G326" s="54"/>
      <c r="H326" s="54"/>
      <c r="T326" s="2"/>
      <c r="V326" s="2"/>
    </row>
    <row r="327" spans="3:22" s="53" customFormat="1" x14ac:dyDescent="0.2">
      <c r="C327" s="54"/>
      <c r="D327" s="54"/>
      <c r="E327" s="54"/>
      <c r="F327" s="54"/>
      <c r="G327" s="54"/>
      <c r="H327" s="54"/>
      <c r="T327" s="2"/>
      <c r="V327" s="2"/>
    </row>
    <row r="328" spans="3:22" s="53" customFormat="1" x14ac:dyDescent="0.2">
      <c r="C328" s="54"/>
      <c r="D328" s="54"/>
      <c r="E328" s="54"/>
      <c r="F328" s="54"/>
      <c r="G328" s="54"/>
      <c r="H328" s="54"/>
      <c r="T328" s="2"/>
      <c r="V328" s="2"/>
    </row>
    <row r="329" spans="3:22" s="53" customFormat="1" x14ac:dyDescent="0.2">
      <c r="C329" s="54"/>
      <c r="D329" s="54"/>
      <c r="E329" s="54"/>
      <c r="F329" s="54"/>
      <c r="G329" s="54"/>
      <c r="H329" s="54"/>
      <c r="T329" s="2"/>
      <c r="V329" s="2"/>
    </row>
    <row r="330" spans="3:22" s="53" customFormat="1" x14ac:dyDescent="0.2">
      <c r="C330" s="54"/>
      <c r="D330" s="54"/>
      <c r="E330" s="54"/>
      <c r="F330" s="54"/>
      <c r="G330" s="54"/>
      <c r="H330" s="54"/>
      <c r="T330" s="2"/>
      <c r="V330" s="2"/>
    </row>
    <row r="331" spans="3:22" s="53" customFormat="1" x14ac:dyDescent="0.2">
      <c r="C331" s="54"/>
      <c r="D331" s="54"/>
      <c r="E331" s="54"/>
      <c r="F331" s="54"/>
      <c r="G331" s="54"/>
      <c r="H331" s="54"/>
      <c r="T331" s="2"/>
      <c r="V331" s="2"/>
    </row>
    <row r="332" spans="3:22" s="53" customFormat="1" x14ac:dyDescent="0.2">
      <c r="C332" s="54"/>
      <c r="D332" s="54"/>
      <c r="E332" s="54"/>
      <c r="F332" s="54"/>
      <c r="G332" s="54"/>
      <c r="H332" s="54"/>
      <c r="T332" s="2"/>
      <c r="V332" s="2"/>
    </row>
    <row r="333" spans="3:22" s="53" customFormat="1" x14ac:dyDescent="0.2">
      <c r="C333" s="54"/>
      <c r="D333" s="54"/>
      <c r="E333" s="54"/>
      <c r="F333" s="54"/>
      <c r="G333" s="54"/>
      <c r="H333" s="54"/>
      <c r="T333" s="2"/>
      <c r="V333" s="2"/>
    </row>
    <row r="334" spans="3:22" s="53" customFormat="1" x14ac:dyDescent="0.2">
      <c r="C334" s="54"/>
      <c r="D334" s="54"/>
      <c r="E334" s="54"/>
      <c r="F334" s="54"/>
      <c r="G334" s="54"/>
      <c r="H334" s="54"/>
      <c r="T334" s="2"/>
      <c r="V334" s="2"/>
    </row>
    <row r="335" spans="3:22" s="53" customFormat="1" x14ac:dyDescent="0.2">
      <c r="C335" s="54"/>
      <c r="D335" s="54"/>
      <c r="E335" s="54"/>
      <c r="F335" s="54"/>
      <c r="G335" s="54"/>
      <c r="H335" s="54"/>
      <c r="T335" s="2"/>
      <c r="V335" s="2"/>
    </row>
    <row r="336" spans="3:22" s="53" customFormat="1" x14ac:dyDescent="0.2">
      <c r="C336" s="54"/>
      <c r="D336" s="54"/>
      <c r="E336" s="54"/>
      <c r="F336" s="54"/>
      <c r="G336" s="54"/>
      <c r="H336" s="54"/>
      <c r="T336" s="2"/>
      <c r="V336" s="2"/>
    </row>
    <row r="337" spans="3:22" s="53" customFormat="1" x14ac:dyDescent="0.2">
      <c r="C337" s="54"/>
      <c r="D337" s="54"/>
      <c r="E337" s="54"/>
      <c r="F337" s="54"/>
      <c r="G337" s="54"/>
      <c r="H337" s="54"/>
      <c r="T337" s="2"/>
      <c r="V337" s="2"/>
    </row>
    <row r="338" spans="3:22" s="53" customFormat="1" x14ac:dyDescent="0.2">
      <c r="C338" s="54"/>
      <c r="D338" s="54"/>
      <c r="E338" s="54"/>
      <c r="F338" s="54"/>
      <c r="G338" s="54"/>
      <c r="H338" s="54"/>
      <c r="T338" s="2"/>
      <c r="V338" s="2"/>
    </row>
    <row r="339" spans="3:22" s="53" customFormat="1" x14ac:dyDescent="0.2">
      <c r="C339" s="54"/>
      <c r="D339" s="54"/>
      <c r="E339" s="54"/>
      <c r="F339" s="54"/>
      <c r="G339" s="54"/>
      <c r="H339" s="54"/>
      <c r="T339" s="2"/>
      <c r="V339" s="2"/>
    </row>
    <row r="340" spans="3:22" s="53" customFormat="1" x14ac:dyDescent="0.2">
      <c r="C340" s="54"/>
      <c r="D340" s="54"/>
      <c r="E340" s="54"/>
      <c r="F340" s="54"/>
      <c r="G340" s="54"/>
      <c r="H340" s="54"/>
      <c r="T340" s="2"/>
      <c r="V340" s="2"/>
    </row>
    <row r="341" spans="3:22" s="53" customFormat="1" x14ac:dyDescent="0.2">
      <c r="C341" s="54"/>
      <c r="D341" s="54"/>
      <c r="E341" s="54"/>
      <c r="F341" s="54"/>
      <c r="G341" s="54"/>
      <c r="H341" s="54"/>
      <c r="T341" s="2"/>
      <c r="V341" s="2"/>
    </row>
    <row r="342" spans="3:22" s="53" customFormat="1" x14ac:dyDescent="0.2">
      <c r="C342" s="54"/>
      <c r="D342" s="54"/>
      <c r="E342" s="54"/>
      <c r="F342" s="54"/>
      <c r="G342" s="54"/>
      <c r="H342" s="54"/>
      <c r="T342" s="2"/>
      <c r="V342" s="2"/>
    </row>
    <row r="343" spans="3:22" s="53" customFormat="1" x14ac:dyDescent="0.2">
      <c r="C343" s="54"/>
      <c r="D343" s="54"/>
      <c r="E343" s="54"/>
      <c r="F343" s="54"/>
      <c r="G343" s="54"/>
      <c r="H343" s="54"/>
      <c r="T343" s="2"/>
      <c r="V343" s="2"/>
    </row>
    <row r="344" spans="3:22" s="53" customFormat="1" x14ac:dyDescent="0.2">
      <c r="C344" s="54"/>
      <c r="D344" s="54"/>
      <c r="E344" s="54"/>
      <c r="F344" s="54"/>
      <c r="G344" s="54"/>
      <c r="H344" s="54"/>
      <c r="T344" s="2"/>
      <c r="V344" s="2"/>
    </row>
    <row r="345" spans="3:22" s="53" customFormat="1" x14ac:dyDescent="0.2">
      <c r="C345" s="54"/>
      <c r="D345" s="54"/>
      <c r="E345" s="54"/>
      <c r="F345" s="54"/>
      <c r="G345" s="54"/>
      <c r="H345" s="54"/>
      <c r="T345" s="2"/>
      <c r="V345" s="2"/>
    </row>
    <row r="346" spans="3:22" s="53" customFormat="1" x14ac:dyDescent="0.2">
      <c r="C346" s="54"/>
      <c r="D346" s="54"/>
      <c r="E346" s="54"/>
      <c r="F346" s="54"/>
      <c r="G346" s="54"/>
      <c r="H346" s="54"/>
      <c r="T346" s="2"/>
      <c r="V346" s="2"/>
    </row>
    <row r="347" spans="3:22" s="53" customFormat="1" x14ac:dyDescent="0.2">
      <c r="C347" s="54"/>
      <c r="D347" s="54"/>
      <c r="E347" s="54"/>
      <c r="F347" s="54"/>
      <c r="G347" s="54"/>
      <c r="H347" s="54"/>
      <c r="T347" s="2"/>
      <c r="V347" s="2"/>
    </row>
    <row r="348" spans="3:22" s="53" customFormat="1" x14ac:dyDescent="0.2">
      <c r="C348" s="54"/>
      <c r="D348" s="54"/>
      <c r="E348" s="54"/>
      <c r="F348" s="54"/>
      <c r="G348" s="54"/>
      <c r="H348" s="54"/>
      <c r="T348" s="2"/>
      <c r="V348" s="2"/>
    </row>
    <row r="349" spans="3:22" s="53" customFormat="1" x14ac:dyDescent="0.2">
      <c r="C349" s="54"/>
      <c r="D349" s="54"/>
      <c r="E349" s="54"/>
      <c r="F349" s="54"/>
      <c r="G349" s="54"/>
      <c r="H349" s="54"/>
      <c r="T349" s="2"/>
      <c r="V349" s="2"/>
    </row>
    <row r="350" spans="3:22" s="53" customFormat="1" x14ac:dyDescent="0.2">
      <c r="C350" s="54"/>
      <c r="D350" s="54"/>
      <c r="E350" s="54"/>
      <c r="F350" s="54"/>
      <c r="G350" s="54"/>
      <c r="H350" s="54"/>
      <c r="T350" s="2"/>
      <c r="V350" s="2"/>
    </row>
    <row r="351" spans="3:22" s="53" customFormat="1" x14ac:dyDescent="0.2">
      <c r="C351" s="54"/>
      <c r="D351" s="54"/>
      <c r="E351" s="54"/>
      <c r="F351" s="54"/>
      <c r="G351" s="54"/>
      <c r="H351" s="54"/>
      <c r="T351" s="2"/>
      <c r="V351" s="2"/>
    </row>
    <row r="352" spans="3:22" s="53" customFormat="1" x14ac:dyDescent="0.2">
      <c r="C352" s="54"/>
      <c r="D352" s="54"/>
      <c r="E352" s="54"/>
      <c r="F352" s="54"/>
      <c r="G352" s="54"/>
      <c r="H352" s="54"/>
      <c r="T352" s="2"/>
      <c r="V352" s="2"/>
    </row>
    <row r="353" spans="3:22" s="53" customFormat="1" x14ac:dyDescent="0.2">
      <c r="C353" s="54"/>
      <c r="D353" s="54"/>
      <c r="E353" s="54"/>
      <c r="F353" s="54"/>
      <c r="G353" s="54"/>
      <c r="H353" s="54"/>
      <c r="T353" s="2"/>
      <c r="V353" s="2"/>
    </row>
    <row r="354" spans="3:22" s="53" customFormat="1" x14ac:dyDescent="0.2">
      <c r="C354" s="54"/>
      <c r="D354" s="54"/>
      <c r="E354" s="54"/>
      <c r="F354" s="54"/>
      <c r="G354" s="54"/>
      <c r="H354" s="54"/>
      <c r="T354" s="2"/>
      <c r="V354" s="2"/>
    </row>
    <row r="355" spans="3:22" s="53" customFormat="1" x14ac:dyDescent="0.2">
      <c r="C355" s="54"/>
      <c r="D355" s="54"/>
      <c r="E355" s="54"/>
      <c r="F355" s="54"/>
      <c r="G355" s="54"/>
      <c r="H355" s="54"/>
      <c r="T355" s="2"/>
      <c r="V355" s="2"/>
    </row>
    <row r="356" spans="3:22" s="53" customFormat="1" x14ac:dyDescent="0.2">
      <c r="C356" s="54"/>
      <c r="D356" s="54"/>
      <c r="E356" s="54"/>
      <c r="F356" s="54"/>
      <c r="G356" s="54"/>
      <c r="H356" s="54"/>
      <c r="T356" s="2"/>
      <c r="V356" s="2"/>
    </row>
    <row r="357" spans="3:22" s="53" customFormat="1" x14ac:dyDescent="0.2">
      <c r="C357" s="54"/>
      <c r="D357" s="54"/>
      <c r="E357" s="54"/>
      <c r="F357" s="54"/>
      <c r="G357" s="54"/>
      <c r="H357" s="54"/>
      <c r="T357" s="2"/>
      <c r="V357" s="2"/>
    </row>
    <row r="358" spans="3:22" s="53" customFormat="1" x14ac:dyDescent="0.2">
      <c r="C358" s="54"/>
      <c r="D358" s="54"/>
      <c r="E358" s="54"/>
      <c r="F358" s="54"/>
      <c r="G358" s="54"/>
      <c r="H358" s="54"/>
      <c r="T358" s="2"/>
      <c r="V358" s="2"/>
    </row>
    <row r="359" spans="3:22" s="53" customFormat="1" x14ac:dyDescent="0.2">
      <c r="C359" s="54"/>
      <c r="D359" s="54"/>
      <c r="E359" s="54"/>
      <c r="F359" s="54"/>
      <c r="G359" s="54"/>
      <c r="H359" s="54"/>
      <c r="T359" s="2"/>
      <c r="V359" s="2"/>
    </row>
    <row r="360" spans="3:22" s="53" customFormat="1" x14ac:dyDescent="0.2">
      <c r="C360" s="54"/>
      <c r="D360" s="54"/>
      <c r="E360" s="54"/>
      <c r="F360" s="54"/>
      <c r="G360" s="54"/>
      <c r="H360" s="54"/>
      <c r="T360" s="2"/>
      <c r="V360" s="2"/>
    </row>
    <row r="361" spans="3:22" s="53" customFormat="1" x14ac:dyDescent="0.2">
      <c r="C361" s="54"/>
      <c r="D361" s="54"/>
      <c r="E361" s="54"/>
      <c r="F361" s="54"/>
      <c r="G361" s="54"/>
      <c r="H361" s="54"/>
      <c r="T361" s="2"/>
      <c r="V361" s="2"/>
    </row>
    <row r="362" spans="3:22" s="53" customFormat="1" x14ac:dyDescent="0.2">
      <c r="C362" s="54"/>
      <c r="D362" s="54"/>
      <c r="E362" s="54"/>
      <c r="F362" s="54"/>
      <c r="G362" s="54"/>
      <c r="H362" s="54"/>
      <c r="T362" s="2"/>
      <c r="V362" s="2"/>
    </row>
    <row r="363" spans="3:22" s="53" customFormat="1" x14ac:dyDescent="0.2">
      <c r="C363" s="54"/>
      <c r="D363" s="54"/>
      <c r="E363" s="54"/>
      <c r="F363" s="54"/>
      <c r="G363" s="54"/>
      <c r="H363" s="54"/>
      <c r="T363" s="2"/>
      <c r="V363" s="2"/>
    </row>
    <row r="364" spans="3:22" s="53" customFormat="1" x14ac:dyDescent="0.2">
      <c r="C364" s="54"/>
      <c r="D364" s="54"/>
      <c r="E364" s="54"/>
      <c r="F364" s="54"/>
      <c r="G364" s="54"/>
      <c r="H364" s="54"/>
      <c r="T364" s="2"/>
      <c r="V364" s="2"/>
    </row>
    <row r="365" spans="3:22" s="53" customFormat="1" x14ac:dyDescent="0.2">
      <c r="C365" s="54"/>
      <c r="D365" s="54"/>
      <c r="E365" s="54"/>
      <c r="F365" s="54"/>
      <c r="G365" s="54"/>
      <c r="H365" s="54"/>
      <c r="T365" s="2"/>
      <c r="V365" s="2"/>
    </row>
    <row r="366" spans="3:22" s="53" customFormat="1" x14ac:dyDescent="0.2">
      <c r="C366" s="54"/>
      <c r="D366" s="54"/>
      <c r="E366" s="54"/>
      <c r="F366" s="54"/>
      <c r="G366" s="54"/>
      <c r="H366" s="54"/>
      <c r="T366" s="2"/>
      <c r="V366" s="2"/>
    </row>
    <row r="367" spans="3:22" s="53" customFormat="1" x14ac:dyDescent="0.2">
      <c r="C367" s="54"/>
      <c r="D367" s="54"/>
      <c r="E367" s="54"/>
      <c r="F367" s="54"/>
      <c r="G367" s="54"/>
      <c r="H367" s="54"/>
      <c r="T367" s="2"/>
      <c r="V367" s="2"/>
    </row>
    <row r="368" spans="3:22" s="53" customFormat="1" x14ac:dyDescent="0.2">
      <c r="C368" s="54"/>
      <c r="D368" s="54"/>
      <c r="E368" s="54"/>
      <c r="F368" s="54"/>
      <c r="G368" s="54"/>
      <c r="H368" s="54"/>
      <c r="T368" s="2"/>
      <c r="V368" s="2"/>
    </row>
    <row r="369" spans="3:22" s="53" customFormat="1" x14ac:dyDescent="0.2">
      <c r="C369" s="54"/>
      <c r="D369" s="54"/>
      <c r="E369" s="54"/>
      <c r="F369" s="54"/>
      <c r="G369" s="54"/>
      <c r="H369" s="54"/>
      <c r="T369" s="2"/>
      <c r="V369" s="2"/>
    </row>
    <row r="370" spans="3:22" s="53" customFormat="1" x14ac:dyDescent="0.2">
      <c r="C370" s="54"/>
      <c r="D370" s="54"/>
      <c r="E370" s="54"/>
      <c r="F370" s="54"/>
      <c r="G370" s="54"/>
      <c r="H370" s="54"/>
      <c r="T370" s="2"/>
      <c r="V370" s="2"/>
    </row>
    <row r="371" spans="3:22" s="53" customFormat="1" x14ac:dyDescent="0.2">
      <c r="C371" s="54"/>
      <c r="D371" s="54"/>
      <c r="E371" s="54"/>
      <c r="F371" s="54"/>
      <c r="G371" s="54"/>
      <c r="H371" s="54"/>
      <c r="T371" s="2"/>
      <c r="V371" s="2"/>
    </row>
    <row r="372" spans="3:22" s="53" customFormat="1" x14ac:dyDescent="0.2">
      <c r="C372" s="54"/>
      <c r="D372" s="54"/>
      <c r="E372" s="54"/>
      <c r="F372" s="54"/>
      <c r="G372" s="54"/>
      <c r="H372" s="54"/>
      <c r="T372" s="2"/>
      <c r="V372" s="2"/>
    </row>
    <row r="373" spans="3:22" s="53" customFormat="1" x14ac:dyDescent="0.2">
      <c r="C373" s="54"/>
      <c r="D373" s="54"/>
      <c r="E373" s="54"/>
      <c r="F373" s="54"/>
      <c r="G373" s="54"/>
      <c r="H373" s="54"/>
      <c r="T373" s="2"/>
      <c r="V373" s="2"/>
    </row>
    <row r="374" spans="3:22" s="53" customFormat="1" x14ac:dyDescent="0.2">
      <c r="C374" s="54"/>
      <c r="D374" s="54"/>
      <c r="E374" s="54"/>
      <c r="F374" s="54"/>
      <c r="G374" s="54"/>
      <c r="H374" s="54"/>
      <c r="T374" s="2"/>
      <c r="V374" s="2"/>
    </row>
    <row r="375" spans="3:22" s="53" customFormat="1" x14ac:dyDescent="0.2">
      <c r="C375" s="54"/>
      <c r="D375" s="54"/>
      <c r="E375" s="54"/>
      <c r="F375" s="54"/>
      <c r="G375" s="54"/>
      <c r="H375" s="54"/>
      <c r="T375" s="2"/>
      <c r="V375" s="2"/>
    </row>
    <row r="376" spans="3:22" s="53" customFormat="1" x14ac:dyDescent="0.2">
      <c r="C376" s="54"/>
      <c r="D376" s="54"/>
      <c r="E376" s="54"/>
      <c r="F376" s="54"/>
      <c r="G376" s="54"/>
      <c r="H376" s="54"/>
      <c r="T376" s="2"/>
      <c r="V376" s="2"/>
    </row>
    <row r="377" spans="3:22" s="53" customFormat="1" x14ac:dyDescent="0.2">
      <c r="C377" s="54"/>
      <c r="D377" s="54"/>
      <c r="E377" s="54"/>
      <c r="F377" s="54"/>
      <c r="G377" s="54"/>
      <c r="H377" s="54"/>
      <c r="T377" s="2"/>
      <c r="V377" s="2"/>
    </row>
    <row r="378" spans="3:22" s="53" customFormat="1" x14ac:dyDescent="0.2">
      <c r="C378" s="54"/>
      <c r="D378" s="54"/>
      <c r="E378" s="54"/>
      <c r="F378" s="54"/>
      <c r="G378" s="54"/>
      <c r="H378" s="54"/>
      <c r="T378" s="2"/>
      <c r="V378" s="2"/>
    </row>
    <row r="379" spans="3:22" s="53" customFormat="1" x14ac:dyDescent="0.2">
      <c r="C379" s="54"/>
      <c r="D379" s="54"/>
      <c r="E379" s="54"/>
      <c r="F379" s="54"/>
      <c r="G379" s="54"/>
      <c r="H379" s="54"/>
      <c r="T379" s="2"/>
      <c r="V379" s="2"/>
    </row>
    <row r="380" spans="3:22" s="53" customFormat="1" x14ac:dyDescent="0.2">
      <c r="C380" s="54"/>
      <c r="D380" s="54"/>
      <c r="E380" s="54"/>
      <c r="F380" s="54"/>
      <c r="G380" s="54"/>
      <c r="H380" s="54"/>
      <c r="T380" s="2"/>
      <c r="V380" s="2"/>
    </row>
    <row r="381" spans="3:22" s="53" customFormat="1" x14ac:dyDescent="0.2">
      <c r="C381" s="54"/>
      <c r="D381" s="54"/>
      <c r="E381" s="54"/>
      <c r="F381" s="54"/>
      <c r="G381" s="54"/>
      <c r="H381" s="54"/>
      <c r="T381" s="2"/>
      <c r="V381" s="2"/>
    </row>
    <row r="382" spans="3:22" s="53" customFormat="1" x14ac:dyDescent="0.2">
      <c r="C382" s="54"/>
      <c r="D382" s="54"/>
      <c r="E382" s="54"/>
      <c r="F382" s="54"/>
      <c r="G382" s="54"/>
      <c r="H382" s="54"/>
      <c r="T382" s="2"/>
      <c r="V382" s="2"/>
    </row>
    <row r="383" spans="3:22" s="53" customFormat="1" x14ac:dyDescent="0.2">
      <c r="C383" s="54"/>
      <c r="D383" s="54"/>
      <c r="E383" s="54"/>
      <c r="F383" s="54"/>
      <c r="G383" s="54"/>
      <c r="H383" s="54"/>
      <c r="T383" s="2"/>
      <c r="V383" s="2"/>
    </row>
    <row r="384" spans="3:22" s="53" customFormat="1" x14ac:dyDescent="0.2">
      <c r="C384" s="54"/>
      <c r="D384" s="54"/>
      <c r="E384" s="54"/>
      <c r="F384" s="54"/>
      <c r="G384" s="54"/>
      <c r="H384" s="54"/>
      <c r="T384" s="2"/>
      <c r="V384" s="2"/>
    </row>
    <row r="385" spans="3:22" s="53" customFormat="1" x14ac:dyDescent="0.2">
      <c r="C385" s="54"/>
      <c r="D385" s="54"/>
      <c r="E385" s="54"/>
      <c r="F385" s="54"/>
      <c r="G385" s="54"/>
      <c r="H385" s="54"/>
      <c r="T385" s="2"/>
      <c r="V385" s="2"/>
    </row>
    <row r="386" spans="3:22" s="53" customFormat="1" x14ac:dyDescent="0.2">
      <c r="C386" s="54"/>
      <c r="D386" s="54"/>
      <c r="E386" s="54"/>
      <c r="F386" s="54"/>
      <c r="G386" s="54"/>
      <c r="H386" s="54"/>
      <c r="T386" s="2"/>
      <c r="V386" s="2"/>
    </row>
    <row r="387" spans="3:22" s="53" customFormat="1" x14ac:dyDescent="0.2">
      <c r="C387" s="54"/>
      <c r="D387" s="54"/>
      <c r="E387" s="54"/>
      <c r="F387" s="54"/>
      <c r="G387" s="54"/>
      <c r="H387" s="54"/>
      <c r="T387" s="2"/>
      <c r="V387" s="2"/>
    </row>
    <row r="388" spans="3:22" s="53" customFormat="1" x14ac:dyDescent="0.2">
      <c r="C388" s="54"/>
      <c r="D388" s="54"/>
      <c r="E388" s="54"/>
      <c r="F388" s="54"/>
      <c r="G388" s="54"/>
      <c r="H388" s="54"/>
      <c r="T388" s="2"/>
      <c r="V388" s="2"/>
    </row>
    <row r="389" spans="3:22" s="53" customFormat="1" x14ac:dyDescent="0.2">
      <c r="C389" s="54"/>
      <c r="D389" s="54"/>
      <c r="E389" s="54"/>
      <c r="F389" s="54"/>
      <c r="G389" s="54"/>
      <c r="H389" s="54"/>
      <c r="T389" s="2"/>
      <c r="V389" s="2"/>
    </row>
    <row r="390" spans="3:22" s="53" customFormat="1" x14ac:dyDescent="0.2">
      <c r="C390" s="54"/>
      <c r="D390" s="54"/>
      <c r="E390" s="54"/>
      <c r="F390" s="54"/>
      <c r="G390" s="54"/>
      <c r="H390" s="54"/>
      <c r="T390" s="2"/>
      <c r="V390" s="2"/>
    </row>
    <row r="391" spans="3:22" s="53" customFormat="1" x14ac:dyDescent="0.2">
      <c r="C391" s="54"/>
      <c r="D391" s="54"/>
      <c r="E391" s="54"/>
      <c r="F391" s="54"/>
      <c r="G391" s="54"/>
      <c r="H391" s="54"/>
      <c r="T391" s="2"/>
      <c r="V391" s="2"/>
    </row>
    <row r="392" spans="3:22" s="53" customFormat="1" x14ac:dyDescent="0.2">
      <c r="C392" s="54"/>
      <c r="D392" s="54"/>
      <c r="E392" s="54"/>
      <c r="F392" s="54"/>
      <c r="G392" s="54"/>
      <c r="H392" s="54"/>
      <c r="T392" s="2"/>
      <c r="V392" s="2"/>
    </row>
    <row r="393" spans="3:22" s="53" customFormat="1" x14ac:dyDescent="0.2">
      <c r="C393" s="54"/>
      <c r="D393" s="54"/>
      <c r="E393" s="54"/>
      <c r="F393" s="54"/>
      <c r="G393" s="54"/>
      <c r="H393" s="54"/>
      <c r="T393" s="2"/>
      <c r="V393" s="2"/>
    </row>
    <row r="394" spans="3:22" s="53" customFormat="1" x14ac:dyDescent="0.2">
      <c r="C394" s="54"/>
      <c r="D394" s="54"/>
      <c r="E394" s="54"/>
      <c r="F394" s="54"/>
      <c r="G394" s="54"/>
      <c r="H394" s="54"/>
      <c r="T394" s="2"/>
      <c r="V394" s="2"/>
    </row>
    <row r="395" spans="3:22" s="53" customFormat="1" x14ac:dyDescent="0.2">
      <c r="C395" s="54"/>
      <c r="D395" s="54"/>
      <c r="E395" s="54"/>
      <c r="F395" s="54"/>
      <c r="G395" s="54"/>
      <c r="H395" s="54"/>
      <c r="T395" s="2"/>
      <c r="V395" s="2"/>
    </row>
    <row r="396" spans="3:22" s="53" customFormat="1" x14ac:dyDescent="0.2">
      <c r="C396" s="54"/>
      <c r="D396" s="54"/>
      <c r="E396" s="54"/>
      <c r="F396" s="54"/>
      <c r="G396" s="54"/>
      <c r="H396" s="54"/>
      <c r="T396" s="2"/>
      <c r="V396" s="2"/>
    </row>
    <row r="397" spans="3:22" s="53" customFormat="1" x14ac:dyDescent="0.2">
      <c r="C397" s="54"/>
      <c r="D397" s="54"/>
      <c r="E397" s="54"/>
      <c r="F397" s="54"/>
      <c r="G397" s="54"/>
      <c r="H397" s="54"/>
      <c r="T397" s="2"/>
      <c r="V397" s="2"/>
    </row>
    <row r="398" spans="3:22" s="53" customFormat="1" x14ac:dyDescent="0.2">
      <c r="C398" s="54"/>
      <c r="D398" s="54"/>
      <c r="E398" s="54"/>
      <c r="F398" s="54"/>
      <c r="G398" s="54"/>
      <c r="H398" s="54"/>
      <c r="T398" s="2"/>
      <c r="V398" s="2"/>
    </row>
    <row r="399" spans="3:22" s="53" customFormat="1" x14ac:dyDescent="0.2">
      <c r="C399" s="54"/>
      <c r="D399" s="54"/>
      <c r="E399" s="54"/>
      <c r="F399" s="54"/>
      <c r="G399" s="54"/>
      <c r="H399" s="54"/>
      <c r="T399" s="2"/>
      <c r="V399" s="2"/>
    </row>
    <row r="400" spans="3:22" s="53" customFormat="1" x14ac:dyDescent="0.2">
      <c r="C400" s="54"/>
      <c r="D400" s="54"/>
      <c r="E400" s="54"/>
      <c r="F400" s="54"/>
      <c r="G400" s="54"/>
      <c r="H400" s="54"/>
      <c r="T400" s="2"/>
      <c r="V400" s="2"/>
    </row>
    <row r="401" spans="3:22" s="53" customFormat="1" x14ac:dyDescent="0.2">
      <c r="C401" s="54"/>
      <c r="D401" s="54"/>
      <c r="E401" s="54"/>
      <c r="F401" s="54"/>
      <c r="G401" s="54"/>
      <c r="H401" s="54"/>
      <c r="T401" s="2"/>
      <c r="V401" s="2"/>
    </row>
    <row r="402" spans="3:22" s="53" customFormat="1" x14ac:dyDescent="0.2">
      <c r="C402" s="54"/>
      <c r="D402" s="54"/>
      <c r="E402" s="54"/>
      <c r="F402" s="54"/>
      <c r="G402" s="54"/>
      <c r="H402" s="54"/>
      <c r="T402" s="2"/>
      <c r="V402" s="2"/>
    </row>
    <row r="403" spans="3:22" s="53" customFormat="1" x14ac:dyDescent="0.2">
      <c r="C403" s="54"/>
      <c r="D403" s="54"/>
      <c r="E403" s="54"/>
      <c r="F403" s="54"/>
      <c r="G403" s="54"/>
      <c r="H403" s="54"/>
      <c r="T403" s="2"/>
      <c r="V403" s="2"/>
    </row>
    <row r="404" spans="3:22" s="53" customFormat="1" x14ac:dyDescent="0.2">
      <c r="C404" s="54"/>
      <c r="D404" s="54"/>
      <c r="E404" s="54"/>
      <c r="F404" s="54"/>
      <c r="G404" s="54"/>
      <c r="H404" s="54"/>
      <c r="T404" s="2"/>
      <c r="V404" s="2"/>
    </row>
    <row r="405" spans="3:22" s="53" customFormat="1" x14ac:dyDescent="0.2">
      <c r="C405" s="54"/>
      <c r="D405" s="54"/>
      <c r="E405" s="54"/>
      <c r="F405" s="54"/>
      <c r="G405" s="54"/>
      <c r="H405" s="54"/>
      <c r="T405" s="2"/>
      <c r="V405" s="2"/>
    </row>
    <row r="406" spans="3:22" s="53" customFormat="1" x14ac:dyDescent="0.2">
      <c r="C406" s="54"/>
      <c r="D406" s="54"/>
      <c r="E406" s="54"/>
      <c r="F406" s="54"/>
      <c r="G406" s="54"/>
      <c r="H406" s="54"/>
      <c r="T406" s="2"/>
      <c r="V406" s="2"/>
    </row>
    <row r="407" spans="3:22" s="53" customFormat="1" x14ac:dyDescent="0.2">
      <c r="C407" s="54"/>
      <c r="D407" s="54"/>
      <c r="E407" s="54"/>
      <c r="F407" s="54"/>
      <c r="G407" s="54"/>
      <c r="H407" s="54"/>
      <c r="T407" s="2"/>
      <c r="V407" s="2"/>
    </row>
    <row r="408" spans="3:22" s="53" customFormat="1" x14ac:dyDescent="0.2">
      <c r="C408" s="54"/>
      <c r="D408" s="54"/>
      <c r="E408" s="54"/>
      <c r="F408" s="54"/>
      <c r="G408" s="54"/>
      <c r="H408" s="54"/>
      <c r="T408" s="2"/>
      <c r="V408" s="2"/>
    </row>
    <row r="409" spans="3:22" s="53" customFormat="1" x14ac:dyDescent="0.2">
      <c r="C409" s="54"/>
      <c r="D409" s="54"/>
      <c r="E409" s="54"/>
      <c r="F409" s="54"/>
      <c r="G409" s="54"/>
      <c r="H409" s="54"/>
      <c r="T409" s="2"/>
      <c r="V409" s="2"/>
    </row>
    <row r="410" spans="3:22" s="53" customFormat="1" x14ac:dyDescent="0.2">
      <c r="C410" s="54"/>
      <c r="D410" s="54"/>
      <c r="E410" s="54"/>
      <c r="F410" s="54"/>
      <c r="G410" s="54"/>
      <c r="H410" s="54"/>
      <c r="T410" s="2"/>
      <c r="V410" s="2"/>
    </row>
    <row r="411" spans="3:22" s="53" customFormat="1" x14ac:dyDescent="0.2">
      <c r="C411" s="54"/>
      <c r="D411" s="54"/>
      <c r="E411" s="54"/>
      <c r="F411" s="54"/>
      <c r="G411" s="54"/>
      <c r="H411" s="54"/>
      <c r="T411" s="2"/>
      <c r="V411" s="2"/>
    </row>
    <row r="412" spans="3:22" s="53" customFormat="1" x14ac:dyDescent="0.2">
      <c r="C412" s="54"/>
      <c r="D412" s="54"/>
      <c r="E412" s="54"/>
      <c r="F412" s="54"/>
      <c r="G412" s="54"/>
      <c r="H412" s="54"/>
      <c r="T412" s="2"/>
      <c r="V412" s="2"/>
    </row>
    <row r="413" spans="3:22" s="53" customFormat="1" x14ac:dyDescent="0.2">
      <c r="C413" s="54"/>
      <c r="D413" s="54"/>
      <c r="E413" s="54"/>
      <c r="F413" s="54"/>
      <c r="G413" s="54"/>
      <c r="H413" s="54"/>
      <c r="T413" s="2"/>
      <c r="V413" s="2"/>
    </row>
    <row r="414" spans="3:22" s="53" customFormat="1" x14ac:dyDescent="0.2">
      <c r="C414" s="54"/>
      <c r="D414" s="54"/>
      <c r="E414" s="54"/>
      <c r="F414" s="54"/>
      <c r="G414" s="54"/>
      <c r="H414" s="54"/>
      <c r="T414" s="2"/>
      <c r="V414" s="2"/>
    </row>
    <row r="415" spans="3:22" s="53" customFormat="1" x14ac:dyDescent="0.2">
      <c r="C415" s="54"/>
      <c r="D415" s="54"/>
      <c r="E415" s="54"/>
      <c r="F415" s="54"/>
      <c r="G415" s="54"/>
      <c r="H415" s="54"/>
      <c r="T415" s="2"/>
      <c r="V415" s="2"/>
    </row>
    <row r="416" spans="3:22" s="53" customFormat="1" x14ac:dyDescent="0.2">
      <c r="C416" s="54"/>
      <c r="D416" s="54"/>
      <c r="E416" s="54"/>
      <c r="F416" s="54"/>
      <c r="G416" s="54"/>
      <c r="H416" s="54"/>
      <c r="T416" s="2"/>
      <c r="V416" s="2"/>
    </row>
    <row r="417" spans="3:22" s="53" customFormat="1" x14ac:dyDescent="0.2">
      <c r="C417" s="54"/>
      <c r="D417" s="54"/>
      <c r="E417" s="54"/>
      <c r="F417" s="54"/>
      <c r="G417" s="54"/>
      <c r="H417" s="54"/>
      <c r="T417" s="2"/>
      <c r="V417" s="2"/>
    </row>
    <row r="418" spans="3:22" s="53" customFormat="1" x14ac:dyDescent="0.2">
      <c r="C418" s="54"/>
      <c r="D418" s="54"/>
      <c r="E418" s="54"/>
      <c r="F418" s="54"/>
      <c r="G418" s="54"/>
      <c r="H418" s="54"/>
      <c r="T418" s="2"/>
      <c r="V418" s="2"/>
    </row>
    <row r="419" spans="3:22" s="53" customFormat="1" x14ac:dyDescent="0.2">
      <c r="C419" s="54"/>
      <c r="D419" s="54"/>
      <c r="E419" s="54"/>
      <c r="F419" s="54"/>
      <c r="G419" s="54"/>
      <c r="H419" s="54"/>
      <c r="T419" s="2"/>
      <c r="V419" s="2"/>
    </row>
    <row r="420" spans="3:22" s="53" customFormat="1" x14ac:dyDescent="0.2">
      <c r="C420" s="54"/>
      <c r="D420" s="54"/>
      <c r="E420" s="54"/>
      <c r="F420" s="54"/>
      <c r="G420" s="54"/>
      <c r="H420" s="54"/>
      <c r="T420" s="2"/>
      <c r="V420" s="2"/>
    </row>
    <row r="421" spans="3:22" s="53" customFormat="1" x14ac:dyDescent="0.2">
      <c r="C421" s="54"/>
      <c r="D421" s="54"/>
      <c r="E421" s="54"/>
      <c r="F421" s="54"/>
      <c r="G421" s="54"/>
      <c r="H421" s="54"/>
      <c r="T421" s="2"/>
      <c r="V421" s="2"/>
    </row>
    <row r="422" spans="3:22" s="53" customFormat="1" x14ac:dyDescent="0.2">
      <c r="C422" s="54"/>
      <c r="D422" s="54"/>
      <c r="E422" s="54"/>
      <c r="F422" s="54"/>
      <c r="G422" s="54"/>
      <c r="H422" s="54"/>
      <c r="T422" s="2"/>
      <c r="V422" s="2"/>
    </row>
    <row r="423" spans="3:22" s="53" customFormat="1" x14ac:dyDescent="0.2">
      <c r="C423" s="54"/>
      <c r="D423" s="54"/>
      <c r="E423" s="54"/>
      <c r="F423" s="54"/>
      <c r="G423" s="54"/>
      <c r="H423" s="54"/>
      <c r="T423" s="2"/>
      <c r="V423" s="2"/>
    </row>
    <row r="424" spans="3:22" s="53" customFormat="1" x14ac:dyDescent="0.2">
      <c r="C424" s="54"/>
      <c r="D424" s="54"/>
      <c r="E424" s="54"/>
      <c r="F424" s="54"/>
      <c r="G424" s="54"/>
      <c r="H424" s="54"/>
      <c r="T424" s="2"/>
      <c r="V424" s="2"/>
    </row>
    <row r="425" spans="3:22" s="53" customFormat="1" x14ac:dyDescent="0.2">
      <c r="C425" s="54"/>
      <c r="D425" s="54"/>
      <c r="E425" s="54"/>
      <c r="F425" s="54"/>
      <c r="G425" s="54"/>
      <c r="H425" s="54"/>
      <c r="T425" s="2"/>
      <c r="V425" s="2"/>
    </row>
    <row r="426" spans="3:22" s="53" customFormat="1" x14ac:dyDescent="0.2">
      <c r="C426" s="54"/>
      <c r="D426" s="54"/>
      <c r="E426" s="54"/>
      <c r="F426" s="54"/>
      <c r="G426" s="54"/>
      <c r="H426" s="54"/>
      <c r="T426" s="2"/>
      <c r="V426" s="2"/>
    </row>
    <row r="427" spans="3:22" s="53" customFormat="1" x14ac:dyDescent="0.2">
      <c r="C427" s="54"/>
      <c r="D427" s="54"/>
      <c r="E427" s="54"/>
      <c r="F427" s="54"/>
      <c r="G427" s="54"/>
      <c r="H427" s="54"/>
      <c r="T427" s="2"/>
      <c r="V427" s="2"/>
    </row>
    <row r="428" spans="3:22" s="53" customFormat="1" x14ac:dyDescent="0.2">
      <c r="C428" s="54"/>
      <c r="D428" s="54"/>
      <c r="E428" s="54"/>
      <c r="F428" s="54"/>
      <c r="G428" s="54"/>
      <c r="H428" s="54"/>
      <c r="T428" s="2"/>
      <c r="V428" s="2"/>
    </row>
    <row r="429" spans="3:22" s="53" customFormat="1" x14ac:dyDescent="0.2">
      <c r="C429" s="54"/>
      <c r="D429" s="54"/>
      <c r="E429" s="54"/>
      <c r="F429" s="54"/>
      <c r="G429" s="54"/>
      <c r="H429" s="54"/>
      <c r="T429" s="2"/>
      <c r="V429" s="2"/>
    </row>
    <row r="430" spans="3:22" s="53" customFormat="1" x14ac:dyDescent="0.2">
      <c r="C430" s="54"/>
      <c r="D430" s="54"/>
      <c r="E430" s="54"/>
      <c r="F430" s="54"/>
      <c r="G430" s="54"/>
      <c r="H430" s="54"/>
      <c r="T430" s="2"/>
      <c r="V430" s="2"/>
    </row>
    <row r="431" spans="3:22" s="53" customFormat="1" x14ac:dyDescent="0.2">
      <c r="C431" s="54"/>
      <c r="D431" s="54"/>
      <c r="E431" s="54"/>
      <c r="F431" s="54"/>
      <c r="G431" s="54"/>
      <c r="H431" s="54"/>
      <c r="T431" s="2"/>
      <c r="V431" s="2"/>
    </row>
    <row r="432" spans="3:22" s="53" customFormat="1" x14ac:dyDescent="0.2">
      <c r="C432" s="54"/>
      <c r="D432" s="54"/>
      <c r="E432" s="54"/>
      <c r="F432" s="54"/>
      <c r="G432" s="54"/>
      <c r="H432" s="54"/>
      <c r="T432" s="2"/>
      <c r="V432" s="2"/>
    </row>
    <row r="433" spans="3:22" s="53" customFormat="1" x14ac:dyDescent="0.2">
      <c r="C433" s="54"/>
      <c r="D433" s="54"/>
      <c r="E433" s="54"/>
      <c r="F433" s="54"/>
      <c r="G433" s="54"/>
      <c r="H433" s="54"/>
      <c r="T433" s="2"/>
      <c r="V433" s="2"/>
    </row>
    <row r="434" spans="3:22" s="53" customFormat="1" x14ac:dyDescent="0.2">
      <c r="C434" s="54"/>
      <c r="D434" s="54"/>
      <c r="E434" s="54"/>
      <c r="F434" s="54"/>
      <c r="G434" s="54"/>
      <c r="H434" s="54"/>
      <c r="T434" s="2"/>
      <c r="V434" s="2"/>
    </row>
    <row r="435" spans="3:22" s="53" customFormat="1" x14ac:dyDescent="0.2">
      <c r="C435" s="54"/>
      <c r="D435" s="54"/>
      <c r="E435" s="54"/>
      <c r="F435" s="54"/>
      <c r="G435" s="54"/>
      <c r="H435" s="54"/>
      <c r="T435" s="2"/>
      <c r="V435" s="2"/>
    </row>
    <row r="436" spans="3:22" s="53" customFormat="1" x14ac:dyDescent="0.2">
      <c r="C436" s="54"/>
      <c r="D436" s="54"/>
      <c r="E436" s="54"/>
      <c r="F436" s="54"/>
      <c r="G436" s="54"/>
      <c r="H436" s="54"/>
      <c r="T436" s="2"/>
      <c r="V436" s="2"/>
    </row>
    <row r="437" spans="3:22" s="53" customFormat="1" x14ac:dyDescent="0.2">
      <c r="C437" s="54"/>
      <c r="D437" s="54"/>
      <c r="E437" s="54"/>
      <c r="F437" s="54"/>
      <c r="G437" s="54"/>
      <c r="H437" s="54"/>
      <c r="T437" s="2"/>
      <c r="V437" s="2"/>
    </row>
    <row r="438" spans="3:22" s="53" customFormat="1" x14ac:dyDescent="0.2">
      <c r="C438" s="54"/>
      <c r="D438" s="54"/>
      <c r="E438" s="54"/>
      <c r="F438" s="54"/>
      <c r="G438" s="54"/>
      <c r="H438" s="54"/>
      <c r="T438" s="2"/>
      <c r="V438" s="2"/>
    </row>
    <row r="439" spans="3:22" s="53" customFormat="1" x14ac:dyDescent="0.2">
      <c r="C439" s="54"/>
      <c r="D439" s="54"/>
      <c r="E439" s="54"/>
      <c r="F439" s="54"/>
      <c r="G439" s="54"/>
      <c r="H439" s="54"/>
      <c r="T439" s="2"/>
      <c r="V439" s="2"/>
    </row>
    <row r="440" spans="3:22" s="53" customFormat="1" x14ac:dyDescent="0.2">
      <c r="C440" s="54"/>
      <c r="D440" s="54"/>
      <c r="E440" s="54"/>
      <c r="F440" s="54"/>
      <c r="G440" s="54"/>
      <c r="H440" s="54"/>
      <c r="T440" s="2"/>
      <c r="V440" s="2"/>
    </row>
    <row r="441" spans="3:22" s="53" customFormat="1" x14ac:dyDescent="0.2">
      <c r="C441" s="54"/>
      <c r="D441" s="54"/>
      <c r="E441" s="54"/>
      <c r="F441" s="54"/>
      <c r="G441" s="54"/>
      <c r="H441" s="54"/>
      <c r="T441" s="2"/>
      <c r="V441" s="2"/>
    </row>
    <row r="442" spans="3:22" s="53" customFormat="1" x14ac:dyDescent="0.2">
      <c r="C442" s="54"/>
      <c r="D442" s="54"/>
      <c r="E442" s="54"/>
      <c r="F442" s="54"/>
      <c r="G442" s="54"/>
      <c r="H442" s="54"/>
      <c r="T442" s="2"/>
      <c r="V442" s="2"/>
    </row>
    <row r="443" spans="3:22" s="53" customFormat="1" x14ac:dyDescent="0.2">
      <c r="C443" s="54"/>
      <c r="D443" s="54"/>
      <c r="E443" s="54"/>
      <c r="F443" s="54"/>
      <c r="G443" s="54"/>
      <c r="H443" s="54"/>
      <c r="T443" s="2"/>
      <c r="V443" s="2"/>
    </row>
    <row r="444" spans="3:22" s="53" customFormat="1" x14ac:dyDescent="0.2">
      <c r="C444" s="54"/>
      <c r="D444" s="54"/>
      <c r="E444" s="54"/>
      <c r="F444" s="54"/>
      <c r="G444" s="54"/>
      <c r="H444" s="54"/>
      <c r="T444" s="2"/>
      <c r="V444" s="2"/>
    </row>
    <row r="445" spans="3:22" s="53" customFormat="1" x14ac:dyDescent="0.2">
      <c r="C445" s="54"/>
      <c r="D445" s="54"/>
      <c r="E445" s="54"/>
      <c r="F445" s="54"/>
      <c r="G445" s="54"/>
      <c r="H445" s="54"/>
      <c r="T445" s="2"/>
      <c r="V445" s="2"/>
    </row>
    <row r="446" spans="3:22" s="53" customFormat="1" x14ac:dyDescent="0.2">
      <c r="C446" s="54"/>
      <c r="D446" s="54"/>
      <c r="E446" s="54"/>
      <c r="F446" s="54"/>
      <c r="G446" s="54"/>
      <c r="H446" s="54"/>
      <c r="T446" s="2"/>
      <c r="V446" s="2"/>
    </row>
    <row r="447" spans="3:22" s="53" customFormat="1" x14ac:dyDescent="0.2">
      <c r="C447" s="54"/>
      <c r="D447" s="54"/>
      <c r="E447" s="54"/>
      <c r="F447" s="54"/>
      <c r="G447" s="54"/>
      <c r="H447" s="54"/>
      <c r="T447" s="2"/>
      <c r="V447" s="2"/>
    </row>
    <row r="448" spans="3:22" s="53" customFormat="1" x14ac:dyDescent="0.2">
      <c r="C448" s="54"/>
      <c r="D448" s="54"/>
      <c r="E448" s="54"/>
      <c r="F448" s="54"/>
      <c r="G448" s="54"/>
      <c r="H448" s="54"/>
      <c r="T448" s="2"/>
      <c r="V448" s="2"/>
    </row>
    <row r="449" spans="3:22" s="53" customFormat="1" x14ac:dyDescent="0.2">
      <c r="C449" s="54"/>
      <c r="D449" s="54"/>
      <c r="E449" s="54"/>
      <c r="F449" s="54"/>
      <c r="G449" s="54"/>
      <c r="H449" s="54"/>
      <c r="T449" s="2"/>
      <c r="V449" s="2"/>
    </row>
    <row r="450" spans="3:22" s="53" customFormat="1" x14ac:dyDescent="0.2">
      <c r="C450" s="54"/>
      <c r="D450" s="54"/>
      <c r="E450" s="54"/>
      <c r="F450" s="54"/>
      <c r="G450" s="54"/>
      <c r="H450" s="54"/>
      <c r="T450" s="2"/>
      <c r="V450" s="2"/>
    </row>
    <row r="451" spans="3:22" s="53" customFormat="1" x14ac:dyDescent="0.2">
      <c r="C451" s="54"/>
      <c r="D451" s="54"/>
      <c r="E451" s="54"/>
      <c r="F451" s="54"/>
      <c r="G451" s="54"/>
      <c r="H451" s="54"/>
      <c r="T451" s="2"/>
      <c r="V451" s="2"/>
    </row>
    <row r="452" spans="3:22" s="53" customFormat="1" x14ac:dyDescent="0.2">
      <c r="C452" s="54"/>
      <c r="D452" s="54"/>
      <c r="E452" s="54"/>
      <c r="F452" s="54"/>
      <c r="G452" s="54"/>
      <c r="H452" s="54"/>
      <c r="T452" s="2"/>
      <c r="V452" s="2"/>
    </row>
    <row r="453" spans="3:22" s="53" customFormat="1" x14ac:dyDescent="0.2">
      <c r="C453" s="54"/>
      <c r="D453" s="54"/>
      <c r="E453" s="54"/>
      <c r="F453" s="54"/>
      <c r="G453" s="54"/>
      <c r="H453" s="54"/>
      <c r="T453" s="2"/>
      <c r="V453" s="2"/>
    </row>
    <row r="454" spans="3:22" s="53" customFormat="1" x14ac:dyDescent="0.2">
      <c r="C454" s="54"/>
      <c r="D454" s="54"/>
      <c r="E454" s="54"/>
      <c r="F454" s="54"/>
      <c r="G454" s="54"/>
      <c r="H454" s="54"/>
      <c r="T454" s="2"/>
      <c r="V454" s="2"/>
    </row>
    <row r="455" spans="3:22" s="53" customFormat="1" x14ac:dyDescent="0.2">
      <c r="C455" s="54"/>
      <c r="D455" s="54"/>
      <c r="E455" s="54"/>
      <c r="F455" s="54"/>
      <c r="G455" s="54"/>
      <c r="H455" s="54"/>
      <c r="T455" s="2"/>
      <c r="V455" s="2"/>
    </row>
    <row r="456" spans="3:22" s="53" customFormat="1" x14ac:dyDescent="0.2">
      <c r="C456" s="54"/>
      <c r="D456" s="54"/>
      <c r="E456" s="54"/>
      <c r="F456" s="54"/>
      <c r="G456" s="54"/>
      <c r="H456" s="54"/>
      <c r="T456" s="2"/>
      <c r="V456" s="2"/>
    </row>
    <row r="457" spans="3:22" s="53" customFormat="1" x14ac:dyDescent="0.2">
      <c r="C457" s="54"/>
      <c r="D457" s="54"/>
      <c r="E457" s="54"/>
      <c r="F457" s="54"/>
      <c r="G457" s="54"/>
      <c r="H457" s="54"/>
      <c r="T457" s="2"/>
      <c r="V457" s="2"/>
    </row>
    <row r="458" spans="3:22" s="53" customFormat="1" x14ac:dyDescent="0.2">
      <c r="C458" s="54"/>
      <c r="D458" s="54"/>
      <c r="E458" s="54"/>
      <c r="F458" s="54"/>
      <c r="G458" s="54"/>
      <c r="H458" s="54"/>
      <c r="T458" s="2"/>
      <c r="V458" s="2"/>
    </row>
    <row r="459" spans="3:22" s="53" customFormat="1" x14ac:dyDescent="0.2">
      <c r="C459" s="54"/>
      <c r="D459" s="54"/>
      <c r="E459" s="54"/>
      <c r="F459" s="54"/>
      <c r="G459" s="54"/>
      <c r="H459" s="54"/>
      <c r="T459" s="2"/>
      <c r="V459" s="2"/>
    </row>
    <row r="460" spans="3:22" s="53" customFormat="1" x14ac:dyDescent="0.2">
      <c r="C460" s="54"/>
      <c r="D460" s="54"/>
      <c r="E460" s="54"/>
      <c r="F460" s="54"/>
      <c r="G460" s="54"/>
      <c r="H460" s="54"/>
      <c r="T460" s="2"/>
      <c r="V460" s="2"/>
    </row>
    <row r="461" spans="3:22" s="53" customFormat="1" x14ac:dyDescent="0.2">
      <c r="C461" s="54"/>
      <c r="D461" s="54"/>
      <c r="E461" s="54"/>
      <c r="F461" s="54"/>
      <c r="G461" s="54"/>
      <c r="H461" s="54"/>
      <c r="T461" s="2"/>
      <c r="V461" s="2"/>
    </row>
    <row r="462" spans="3:22" s="53" customFormat="1" x14ac:dyDescent="0.2">
      <c r="C462" s="54"/>
      <c r="D462" s="54"/>
      <c r="E462" s="54"/>
      <c r="F462" s="54"/>
      <c r="G462" s="54"/>
      <c r="H462" s="54"/>
      <c r="T462" s="2"/>
      <c r="V462" s="2"/>
    </row>
    <row r="463" spans="3:22" s="53" customFormat="1" x14ac:dyDescent="0.2">
      <c r="C463" s="54"/>
      <c r="D463" s="54"/>
      <c r="E463" s="54"/>
      <c r="F463" s="54"/>
      <c r="G463" s="54"/>
      <c r="H463" s="54"/>
      <c r="T463" s="2"/>
      <c r="V463" s="2"/>
    </row>
    <row r="464" spans="3:22" s="53" customFormat="1" x14ac:dyDescent="0.2">
      <c r="C464" s="54"/>
      <c r="D464" s="54"/>
      <c r="E464" s="54"/>
      <c r="F464" s="54"/>
      <c r="G464" s="54"/>
      <c r="H464" s="54"/>
      <c r="T464" s="2"/>
      <c r="V464" s="2"/>
    </row>
    <row r="465" spans="3:22" s="53" customFormat="1" x14ac:dyDescent="0.2">
      <c r="C465" s="54"/>
      <c r="D465" s="54"/>
      <c r="E465" s="54"/>
      <c r="F465" s="54"/>
      <c r="G465" s="54"/>
      <c r="H465" s="54"/>
      <c r="T465" s="2"/>
      <c r="V465" s="2"/>
    </row>
    <row r="466" spans="3:22" s="53" customFormat="1" x14ac:dyDescent="0.2">
      <c r="C466" s="54"/>
      <c r="D466" s="54"/>
      <c r="E466" s="54"/>
      <c r="F466" s="54"/>
      <c r="G466" s="54"/>
      <c r="H466" s="54"/>
      <c r="T466" s="2"/>
      <c r="V466" s="2"/>
    </row>
    <row r="467" spans="3:22" s="53" customFormat="1" x14ac:dyDescent="0.2">
      <c r="C467" s="54"/>
      <c r="D467" s="54"/>
      <c r="E467" s="54"/>
      <c r="F467" s="54"/>
      <c r="G467" s="54"/>
      <c r="H467" s="54"/>
      <c r="T467" s="2"/>
      <c r="V467" s="2"/>
    </row>
    <row r="468" spans="3:22" s="53" customFormat="1" x14ac:dyDescent="0.2">
      <c r="C468" s="54"/>
      <c r="D468" s="54"/>
      <c r="E468" s="54"/>
      <c r="F468" s="54"/>
      <c r="G468" s="54"/>
      <c r="H468" s="54"/>
      <c r="T468" s="2"/>
      <c r="V468" s="2"/>
    </row>
    <row r="469" spans="3:22" s="53" customFormat="1" x14ac:dyDescent="0.2">
      <c r="C469" s="54"/>
      <c r="D469" s="54"/>
      <c r="E469" s="54"/>
      <c r="F469" s="54"/>
      <c r="G469" s="54"/>
      <c r="H469" s="54"/>
      <c r="T469" s="2"/>
      <c r="V469" s="2"/>
    </row>
    <row r="470" spans="3:22" s="53" customFormat="1" x14ac:dyDescent="0.2">
      <c r="C470" s="54"/>
      <c r="D470" s="54"/>
      <c r="E470" s="54"/>
      <c r="F470" s="54"/>
      <c r="G470" s="54"/>
      <c r="H470" s="54"/>
      <c r="T470" s="2"/>
      <c r="V470" s="2"/>
    </row>
    <row r="471" spans="3:22" s="53" customFormat="1" x14ac:dyDescent="0.2">
      <c r="C471" s="54"/>
      <c r="D471" s="54"/>
      <c r="E471" s="54"/>
      <c r="F471" s="54"/>
      <c r="G471" s="54"/>
      <c r="H471" s="54"/>
      <c r="T471" s="2"/>
      <c r="V471" s="2"/>
    </row>
    <row r="472" spans="3:22" s="53" customFormat="1" x14ac:dyDescent="0.2">
      <c r="C472" s="54"/>
      <c r="D472" s="54"/>
      <c r="E472" s="54"/>
      <c r="F472" s="54"/>
      <c r="G472" s="54"/>
      <c r="H472" s="54"/>
      <c r="T472" s="2"/>
      <c r="V472" s="2"/>
    </row>
    <row r="473" spans="3:22" s="53" customFormat="1" x14ac:dyDescent="0.2">
      <c r="C473" s="54"/>
      <c r="D473" s="54"/>
      <c r="E473" s="54"/>
      <c r="F473" s="54"/>
      <c r="G473" s="54"/>
      <c r="H473" s="54"/>
      <c r="T473" s="2"/>
      <c r="V473" s="2"/>
    </row>
    <row r="474" spans="3:22" s="53" customFormat="1" x14ac:dyDescent="0.2">
      <c r="C474" s="54"/>
      <c r="D474" s="54"/>
      <c r="E474" s="54"/>
      <c r="F474" s="54"/>
      <c r="G474" s="54"/>
      <c r="H474" s="54"/>
      <c r="T474" s="2"/>
      <c r="V474" s="2"/>
    </row>
    <row r="475" spans="3:22" s="53" customFormat="1" x14ac:dyDescent="0.2">
      <c r="C475" s="54"/>
      <c r="D475" s="54"/>
      <c r="E475" s="54"/>
      <c r="F475" s="54"/>
      <c r="G475" s="54"/>
      <c r="H475" s="54"/>
      <c r="T475" s="2"/>
      <c r="V475" s="2"/>
    </row>
    <row r="476" spans="3:22" s="53" customFormat="1" x14ac:dyDescent="0.2">
      <c r="C476" s="54"/>
      <c r="D476" s="54"/>
      <c r="E476" s="54"/>
      <c r="F476" s="54"/>
      <c r="G476" s="54"/>
      <c r="H476" s="54"/>
      <c r="T476" s="2"/>
      <c r="V476" s="2"/>
    </row>
    <row r="477" spans="3:22" s="53" customFormat="1" x14ac:dyDescent="0.2">
      <c r="C477" s="54"/>
      <c r="D477" s="54"/>
      <c r="E477" s="54"/>
      <c r="F477" s="54"/>
      <c r="G477" s="54"/>
      <c r="H477" s="54"/>
      <c r="T477" s="2"/>
      <c r="V477" s="2"/>
    </row>
    <row r="478" spans="3:22" s="53" customFormat="1" x14ac:dyDescent="0.2">
      <c r="C478" s="54"/>
      <c r="D478" s="54"/>
      <c r="E478" s="54"/>
      <c r="F478" s="54"/>
      <c r="G478" s="54"/>
      <c r="H478" s="54"/>
      <c r="T478" s="2"/>
      <c r="V478" s="2"/>
    </row>
    <row r="479" spans="3:22" s="53" customFormat="1" x14ac:dyDescent="0.2">
      <c r="C479" s="54"/>
      <c r="D479" s="54"/>
      <c r="E479" s="54"/>
      <c r="F479" s="54"/>
      <c r="G479" s="54"/>
      <c r="H479" s="54"/>
      <c r="T479" s="2"/>
      <c r="V479" s="2"/>
    </row>
    <row r="480" spans="3:22" s="53" customFormat="1" x14ac:dyDescent="0.2">
      <c r="C480" s="54"/>
      <c r="D480" s="54"/>
      <c r="E480" s="54"/>
      <c r="F480" s="54"/>
      <c r="G480" s="54"/>
      <c r="H480" s="54"/>
      <c r="T480" s="2"/>
      <c r="V480" s="2"/>
    </row>
    <row r="481" spans="3:22" s="53" customFormat="1" x14ac:dyDescent="0.2">
      <c r="C481" s="54"/>
      <c r="D481" s="54"/>
      <c r="E481" s="54"/>
      <c r="F481" s="54"/>
      <c r="G481" s="54"/>
      <c r="H481" s="54"/>
      <c r="T481" s="2"/>
      <c r="V481" s="2"/>
    </row>
    <row r="482" spans="3:22" s="53" customFormat="1" x14ac:dyDescent="0.2">
      <c r="C482" s="54"/>
      <c r="D482" s="54"/>
      <c r="E482" s="54"/>
      <c r="F482" s="54"/>
      <c r="G482" s="54"/>
      <c r="H482" s="54"/>
      <c r="T482" s="2"/>
      <c r="V482" s="2"/>
    </row>
    <row r="483" spans="3:22" s="53" customFormat="1" x14ac:dyDescent="0.2">
      <c r="C483" s="54"/>
      <c r="D483" s="54"/>
      <c r="E483" s="54"/>
      <c r="F483" s="54"/>
      <c r="G483" s="54"/>
      <c r="H483" s="54"/>
      <c r="T483" s="2"/>
      <c r="V483" s="2"/>
    </row>
    <row r="484" spans="3:22" s="53" customFormat="1" x14ac:dyDescent="0.2">
      <c r="C484" s="54"/>
      <c r="D484" s="54"/>
      <c r="E484" s="54"/>
      <c r="F484" s="54"/>
      <c r="G484" s="54"/>
      <c r="H484" s="54"/>
      <c r="T484" s="2"/>
      <c r="V484" s="2"/>
    </row>
    <row r="485" spans="3:22" s="53" customFormat="1" x14ac:dyDescent="0.2">
      <c r="C485" s="54"/>
      <c r="D485" s="54"/>
      <c r="E485" s="54"/>
      <c r="F485" s="54"/>
      <c r="G485" s="54"/>
      <c r="H485" s="54"/>
      <c r="T485" s="2"/>
      <c r="V485" s="2"/>
    </row>
    <row r="486" spans="3:22" s="53" customFormat="1" x14ac:dyDescent="0.2">
      <c r="C486" s="54"/>
      <c r="D486" s="54"/>
      <c r="E486" s="54"/>
      <c r="F486" s="54"/>
      <c r="G486" s="54"/>
      <c r="H486" s="54"/>
      <c r="T486" s="2"/>
      <c r="V486" s="2"/>
    </row>
    <row r="487" spans="3:22" s="53" customFormat="1" x14ac:dyDescent="0.2">
      <c r="C487" s="54"/>
      <c r="D487" s="54"/>
      <c r="E487" s="54"/>
      <c r="F487" s="54"/>
      <c r="G487" s="54"/>
      <c r="H487" s="54"/>
      <c r="T487" s="2"/>
      <c r="V487" s="2"/>
    </row>
    <row r="488" spans="3:22" s="53" customFormat="1" x14ac:dyDescent="0.2">
      <c r="C488" s="54"/>
      <c r="D488" s="54"/>
      <c r="E488" s="54"/>
      <c r="F488" s="54"/>
      <c r="G488" s="54"/>
      <c r="H488" s="54"/>
      <c r="T488" s="2"/>
      <c r="V488" s="2"/>
    </row>
    <row r="489" spans="3:22" s="53" customFormat="1" x14ac:dyDescent="0.2">
      <c r="C489" s="54"/>
      <c r="D489" s="54"/>
      <c r="E489" s="54"/>
      <c r="F489" s="54"/>
      <c r="G489" s="54"/>
      <c r="H489" s="54"/>
      <c r="T489" s="2"/>
      <c r="V489" s="2"/>
    </row>
    <row r="490" spans="3:22" s="53" customFormat="1" x14ac:dyDescent="0.2">
      <c r="C490" s="54"/>
      <c r="D490" s="54"/>
      <c r="E490" s="54"/>
      <c r="F490" s="54"/>
      <c r="G490" s="54"/>
      <c r="H490" s="54"/>
      <c r="T490" s="2"/>
      <c r="V490" s="2"/>
    </row>
    <row r="491" spans="3:22" s="53" customFormat="1" x14ac:dyDescent="0.2">
      <c r="C491" s="54"/>
      <c r="D491" s="54"/>
      <c r="E491" s="54"/>
      <c r="F491" s="54"/>
      <c r="G491" s="54"/>
      <c r="H491" s="54"/>
      <c r="T491" s="2"/>
      <c r="V491" s="2"/>
    </row>
    <row r="492" spans="3:22" s="53" customFormat="1" x14ac:dyDescent="0.2">
      <c r="C492" s="54"/>
      <c r="D492" s="54"/>
      <c r="E492" s="54"/>
      <c r="F492" s="54"/>
      <c r="G492" s="54"/>
      <c r="H492" s="54"/>
      <c r="T492" s="2"/>
      <c r="V492" s="2"/>
    </row>
    <row r="493" spans="3:22" s="53" customFormat="1" x14ac:dyDescent="0.2">
      <c r="C493" s="54"/>
      <c r="D493" s="54"/>
      <c r="E493" s="54"/>
      <c r="F493" s="54"/>
      <c r="G493" s="54"/>
      <c r="H493" s="54"/>
      <c r="T493" s="2"/>
      <c r="V493" s="2"/>
    </row>
    <row r="494" spans="3:22" s="53" customFormat="1" x14ac:dyDescent="0.2">
      <c r="C494" s="54"/>
      <c r="D494" s="54"/>
      <c r="E494" s="54"/>
      <c r="F494" s="54"/>
      <c r="G494" s="54"/>
      <c r="H494" s="54"/>
      <c r="T494" s="2"/>
      <c r="V494" s="2"/>
    </row>
    <row r="495" spans="3:22" s="53" customFormat="1" x14ac:dyDescent="0.2">
      <c r="C495" s="54"/>
      <c r="D495" s="54"/>
      <c r="E495" s="54"/>
      <c r="F495" s="54"/>
      <c r="G495" s="54"/>
      <c r="H495" s="54"/>
      <c r="T495" s="2"/>
      <c r="V495" s="2"/>
    </row>
    <row r="496" spans="3:22" s="53" customFormat="1" x14ac:dyDescent="0.2">
      <c r="C496" s="54"/>
      <c r="D496" s="54"/>
      <c r="E496" s="54"/>
      <c r="F496" s="54"/>
      <c r="G496" s="54"/>
      <c r="H496" s="54"/>
      <c r="T496" s="2"/>
      <c r="V496" s="2"/>
    </row>
    <row r="497" spans="3:22" s="53" customFormat="1" x14ac:dyDescent="0.2">
      <c r="C497" s="54"/>
      <c r="D497" s="54"/>
      <c r="E497" s="54"/>
      <c r="F497" s="54"/>
      <c r="G497" s="54"/>
      <c r="H497" s="54"/>
      <c r="T497" s="2"/>
      <c r="V497" s="2"/>
    </row>
    <row r="498" spans="3:22" s="53" customFormat="1" x14ac:dyDescent="0.2">
      <c r="C498" s="54"/>
      <c r="D498" s="54"/>
      <c r="E498" s="54"/>
      <c r="F498" s="54"/>
      <c r="G498" s="54"/>
      <c r="H498" s="54"/>
      <c r="T498" s="2"/>
      <c r="V498" s="2"/>
    </row>
    <row r="499" spans="3:22" s="53" customFormat="1" x14ac:dyDescent="0.2">
      <c r="C499" s="54"/>
      <c r="D499" s="54"/>
      <c r="E499" s="54"/>
      <c r="F499" s="54"/>
      <c r="G499" s="54"/>
      <c r="H499" s="54"/>
      <c r="T499" s="2"/>
      <c r="V499" s="2"/>
    </row>
    <row r="500" spans="3:22" s="53" customFormat="1" x14ac:dyDescent="0.2">
      <c r="C500" s="54"/>
      <c r="D500" s="54"/>
      <c r="E500" s="54"/>
      <c r="F500" s="54"/>
      <c r="G500" s="54"/>
      <c r="H500" s="54"/>
      <c r="T500" s="2"/>
      <c r="V500" s="2"/>
    </row>
    <row r="501" spans="3:22" s="53" customFormat="1" x14ac:dyDescent="0.2">
      <c r="C501" s="54"/>
      <c r="D501" s="54"/>
      <c r="E501" s="54"/>
      <c r="F501" s="54"/>
      <c r="G501" s="54"/>
      <c r="H501" s="54"/>
      <c r="T501" s="2"/>
      <c r="V501" s="2"/>
    </row>
    <row r="502" spans="3:22" s="53" customFormat="1" x14ac:dyDescent="0.2">
      <c r="C502" s="54"/>
      <c r="D502" s="54"/>
      <c r="E502" s="54"/>
      <c r="F502" s="54"/>
      <c r="G502" s="54"/>
      <c r="H502" s="54"/>
      <c r="T502" s="2"/>
      <c r="V502" s="2"/>
    </row>
    <row r="503" spans="3:22" s="53" customFormat="1" x14ac:dyDescent="0.2">
      <c r="C503" s="54"/>
      <c r="D503" s="54"/>
      <c r="E503" s="54"/>
      <c r="F503" s="54"/>
      <c r="G503" s="54"/>
      <c r="H503" s="54"/>
      <c r="T503" s="2"/>
      <c r="V503" s="2"/>
    </row>
    <row r="504" spans="3:22" s="53" customFormat="1" x14ac:dyDescent="0.2">
      <c r="C504" s="54"/>
      <c r="D504" s="54"/>
      <c r="E504" s="54"/>
      <c r="F504" s="54"/>
      <c r="G504" s="54"/>
      <c r="H504" s="54"/>
      <c r="T504" s="2"/>
      <c r="V504" s="2"/>
    </row>
    <row r="505" spans="3:22" s="53" customFormat="1" x14ac:dyDescent="0.2">
      <c r="C505" s="54"/>
      <c r="D505" s="54"/>
      <c r="E505" s="54"/>
      <c r="F505" s="54"/>
      <c r="G505" s="54"/>
      <c r="H505" s="54"/>
      <c r="T505" s="2"/>
      <c r="V505" s="2"/>
    </row>
    <row r="506" spans="3:22" s="53" customFormat="1" x14ac:dyDescent="0.2">
      <c r="C506" s="54"/>
      <c r="D506" s="54"/>
      <c r="E506" s="54"/>
      <c r="F506" s="54"/>
      <c r="G506" s="54"/>
      <c r="H506" s="54"/>
      <c r="T506" s="2"/>
      <c r="V506" s="2"/>
    </row>
    <row r="507" spans="3:22" s="53" customFormat="1" x14ac:dyDescent="0.2">
      <c r="C507" s="54"/>
      <c r="D507" s="54"/>
      <c r="E507" s="54"/>
      <c r="F507" s="54"/>
      <c r="G507" s="54"/>
      <c r="H507" s="54"/>
      <c r="T507" s="2"/>
      <c r="V507" s="2"/>
    </row>
    <row r="508" spans="3:22" s="53" customFormat="1" x14ac:dyDescent="0.2">
      <c r="C508" s="54"/>
      <c r="D508" s="54"/>
      <c r="E508" s="54"/>
      <c r="F508" s="54"/>
      <c r="G508" s="54"/>
      <c r="H508" s="54"/>
      <c r="T508" s="2"/>
      <c r="V508" s="2"/>
    </row>
    <row r="509" spans="3:22" s="53" customFormat="1" x14ac:dyDescent="0.2">
      <c r="C509" s="54"/>
      <c r="D509" s="54"/>
      <c r="E509" s="54"/>
      <c r="F509" s="54"/>
      <c r="G509" s="54"/>
      <c r="H509" s="54"/>
      <c r="T509" s="2"/>
      <c r="V509" s="2"/>
    </row>
    <row r="510" spans="3:22" s="53" customFormat="1" x14ac:dyDescent="0.2">
      <c r="C510" s="54"/>
      <c r="D510" s="54"/>
      <c r="E510" s="54"/>
      <c r="F510" s="54"/>
      <c r="G510" s="54"/>
      <c r="H510" s="54"/>
      <c r="T510" s="2"/>
      <c r="V510" s="2"/>
    </row>
    <row r="511" spans="3:22" s="53" customFormat="1" x14ac:dyDescent="0.2">
      <c r="C511" s="54"/>
      <c r="D511" s="54"/>
      <c r="E511" s="54"/>
      <c r="F511" s="54"/>
      <c r="G511" s="54"/>
      <c r="H511" s="54"/>
      <c r="T511" s="2"/>
      <c r="V511" s="2"/>
    </row>
    <row r="512" spans="3:22" s="53" customFormat="1" x14ac:dyDescent="0.2">
      <c r="C512" s="54"/>
      <c r="D512" s="54"/>
      <c r="E512" s="54"/>
      <c r="F512" s="54"/>
      <c r="G512" s="54"/>
      <c r="H512" s="54"/>
      <c r="T512" s="2"/>
      <c r="V512" s="2"/>
    </row>
    <row r="513" spans="3:22" s="53" customFormat="1" x14ac:dyDescent="0.2">
      <c r="C513" s="54"/>
      <c r="D513" s="54"/>
      <c r="E513" s="54"/>
      <c r="F513" s="54"/>
      <c r="G513" s="54"/>
      <c r="H513" s="54"/>
      <c r="T513" s="2"/>
      <c r="V513" s="2"/>
    </row>
    <row r="514" spans="3:22" s="53" customFormat="1" x14ac:dyDescent="0.2">
      <c r="C514" s="54"/>
      <c r="D514" s="54"/>
      <c r="E514" s="54"/>
      <c r="F514" s="54"/>
      <c r="G514" s="54"/>
      <c r="H514" s="54"/>
      <c r="T514" s="2"/>
      <c r="V514" s="2"/>
    </row>
    <row r="515" spans="3:22" s="53" customFormat="1" x14ac:dyDescent="0.2">
      <c r="C515" s="54"/>
      <c r="D515" s="54"/>
      <c r="E515" s="54"/>
      <c r="F515" s="54"/>
      <c r="G515" s="54"/>
      <c r="H515" s="54"/>
      <c r="T515" s="2"/>
      <c r="V515" s="2"/>
    </row>
    <row r="516" spans="3:22" s="53" customFormat="1" x14ac:dyDescent="0.2">
      <c r="C516" s="54"/>
      <c r="D516" s="54"/>
      <c r="E516" s="54"/>
      <c r="F516" s="54"/>
      <c r="G516" s="54"/>
      <c r="H516" s="54"/>
      <c r="T516" s="2"/>
      <c r="V516" s="2"/>
    </row>
    <row r="517" spans="3:22" s="53" customFormat="1" x14ac:dyDescent="0.2">
      <c r="C517" s="54"/>
      <c r="D517" s="54"/>
      <c r="E517" s="54"/>
      <c r="F517" s="54"/>
      <c r="G517" s="54"/>
      <c r="H517" s="54"/>
      <c r="T517" s="2"/>
      <c r="V517" s="2"/>
    </row>
    <row r="518" spans="3:22" s="53" customFormat="1" x14ac:dyDescent="0.2">
      <c r="C518" s="54"/>
      <c r="D518" s="54"/>
      <c r="E518" s="54"/>
      <c r="F518" s="54"/>
      <c r="G518" s="54"/>
      <c r="H518" s="54"/>
      <c r="T518" s="2"/>
      <c r="V518" s="2"/>
    </row>
    <row r="519" spans="3:22" s="53" customFormat="1" x14ac:dyDescent="0.2">
      <c r="C519" s="54"/>
      <c r="D519" s="54"/>
      <c r="E519" s="54"/>
      <c r="F519" s="54"/>
      <c r="G519" s="54"/>
      <c r="H519" s="54"/>
      <c r="T519" s="2"/>
      <c r="V519" s="2"/>
    </row>
    <row r="520" spans="3:22" s="53" customFormat="1" x14ac:dyDescent="0.2">
      <c r="C520" s="54"/>
      <c r="D520" s="54"/>
      <c r="E520" s="54"/>
      <c r="F520" s="54"/>
      <c r="G520" s="54"/>
      <c r="H520" s="54"/>
      <c r="T520" s="2"/>
      <c r="V520" s="2"/>
    </row>
    <row r="521" spans="3:22" s="53" customFormat="1" x14ac:dyDescent="0.2">
      <c r="C521" s="54"/>
      <c r="D521" s="54"/>
      <c r="E521" s="54"/>
      <c r="F521" s="54"/>
      <c r="G521" s="54"/>
      <c r="H521" s="54"/>
      <c r="T521" s="2"/>
      <c r="V521" s="2"/>
    </row>
    <row r="522" spans="3:22" s="53" customFormat="1" x14ac:dyDescent="0.2">
      <c r="C522" s="54"/>
      <c r="D522" s="54"/>
      <c r="E522" s="54"/>
      <c r="F522" s="54"/>
      <c r="G522" s="54"/>
      <c r="H522" s="54"/>
      <c r="T522" s="2"/>
      <c r="V522" s="2"/>
    </row>
    <row r="523" spans="3:22" s="53" customFormat="1" x14ac:dyDescent="0.2">
      <c r="C523" s="54"/>
      <c r="D523" s="54"/>
      <c r="E523" s="54"/>
      <c r="F523" s="54"/>
      <c r="G523" s="54"/>
      <c r="H523" s="54"/>
      <c r="T523" s="2"/>
      <c r="V523" s="2"/>
    </row>
    <row r="524" spans="3:22" s="53" customFormat="1" x14ac:dyDescent="0.2">
      <c r="C524" s="54"/>
      <c r="D524" s="54"/>
      <c r="E524" s="54"/>
      <c r="F524" s="54"/>
      <c r="G524" s="54"/>
      <c r="H524" s="54"/>
      <c r="T524" s="2"/>
      <c r="V524" s="2"/>
    </row>
    <row r="525" spans="3:22" s="53" customFormat="1" x14ac:dyDescent="0.2">
      <c r="C525" s="54"/>
      <c r="D525" s="54"/>
      <c r="E525" s="54"/>
      <c r="F525" s="54"/>
      <c r="G525" s="54"/>
      <c r="H525" s="54"/>
      <c r="T525" s="2"/>
      <c r="V525" s="2"/>
    </row>
    <row r="526" spans="3:22" s="53" customFormat="1" x14ac:dyDescent="0.2">
      <c r="C526" s="54"/>
      <c r="D526" s="54"/>
      <c r="E526" s="54"/>
      <c r="F526" s="54"/>
      <c r="G526" s="54"/>
      <c r="H526" s="54"/>
      <c r="T526" s="2"/>
      <c r="V526" s="2"/>
    </row>
    <row r="527" spans="3:22" s="53" customFormat="1" x14ac:dyDescent="0.2">
      <c r="C527" s="54"/>
      <c r="D527" s="54"/>
      <c r="E527" s="54"/>
      <c r="F527" s="54"/>
      <c r="G527" s="54"/>
      <c r="H527" s="54"/>
      <c r="T527" s="2"/>
      <c r="V527" s="2"/>
    </row>
    <row r="528" spans="3:22" s="53" customFormat="1" x14ac:dyDescent="0.2">
      <c r="C528" s="54"/>
      <c r="D528" s="54"/>
      <c r="E528" s="54"/>
      <c r="F528" s="54"/>
      <c r="G528" s="54"/>
      <c r="H528" s="54"/>
      <c r="T528" s="2"/>
      <c r="V528" s="2"/>
    </row>
    <row r="529" spans="3:22" s="53" customFormat="1" x14ac:dyDescent="0.2">
      <c r="C529" s="54"/>
      <c r="D529" s="54"/>
      <c r="E529" s="54"/>
      <c r="F529" s="54"/>
      <c r="G529" s="54"/>
      <c r="H529" s="54"/>
      <c r="T529" s="2"/>
      <c r="V529" s="2"/>
    </row>
    <row r="530" spans="3:22" s="53" customFormat="1" x14ac:dyDescent="0.2">
      <c r="C530" s="54"/>
      <c r="D530" s="54"/>
      <c r="E530" s="54"/>
      <c r="F530" s="54"/>
      <c r="G530" s="54"/>
      <c r="H530" s="54"/>
      <c r="T530" s="2"/>
      <c r="V530" s="2"/>
    </row>
    <row r="531" spans="3:22" s="53" customFormat="1" x14ac:dyDescent="0.2">
      <c r="C531" s="54"/>
      <c r="D531" s="54"/>
      <c r="E531" s="54"/>
      <c r="F531" s="54"/>
      <c r="G531" s="54"/>
      <c r="H531" s="54"/>
      <c r="T531" s="2"/>
      <c r="V531" s="2"/>
    </row>
    <row r="532" spans="3:22" s="53" customFormat="1" x14ac:dyDescent="0.2">
      <c r="C532" s="54"/>
      <c r="D532" s="54"/>
      <c r="E532" s="54"/>
      <c r="F532" s="54"/>
      <c r="G532" s="54"/>
      <c r="H532" s="54"/>
      <c r="T532" s="2"/>
      <c r="V532" s="2"/>
    </row>
    <row r="533" spans="3:22" s="53" customFormat="1" x14ac:dyDescent="0.2">
      <c r="C533" s="54"/>
      <c r="D533" s="54"/>
      <c r="E533" s="54"/>
      <c r="F533" s="54"/>
      <c r="G533" s="54"/>
      <c r="H533" s="54"/>
      <c r="T533" s="2"/>
      <c r="V533" s="2"/>
    </row>
    <row r="534" spans="3:22" s="53" customFormat="1" x14ac:dyDescent="0.2">
      <c r="C534" s="54"/>
      <c r="D534" s="54"/>
      <c r="E534" s="54"/>
      <c r="F534" s="54"/>
      <c r="G534" s="54"/>
      <c r="H534" s="54"/>
      <c r="T534" s="2"/>
      <c r="V534" s="2"/>
    </row>
    <row r="535" spans="3:22" s="53" customFormat="1" x14ac:dyDescent="0.2">
      <c r="C535" s="54"/>
      <c r="D535" s="54"/>
      <c r="E535" s="54"/>
      <c r="F535" s="54"/>
      <c r="G535" s="54"/>
      <c r="H535" s="54"/>
      <c r="T535" s="2"/>
      <c r="V535" s="2"/>
    </row>
    <row r="536" spans="3:22" s="53" customFormat="1" x14ac:dyDescent="0.2">
      <c r="C536" s="54"/>
      <c r="D536" s="54"/>
      <c r="E536" s="54"/>
      <c r="F536" s="54"/>
      <c r="G536" s="54"/>
      <c r="H536" s="54"/>
      <c r="T536" s="2"/>
      <c r="V536" s="2"/>
    </row>
    <row r="537" spans="3:22" s="53" customFormat="1" x14ac:dyDescent="0.2">
      <c r="C537" s="54"/>
      <c r="D537" s="54"/>
      <c r="E537" s="54"/>
      <c r="F537" s="54"/>
      <c r="G537" s="54"/>
      <c r="H537" s="54"/>
      <c r="T537" s="2"/>
      <c r="V537" s="2"/>
    </row>
    <row r="538" spans="3:22" s="53" customFormat="1" x14ac:dyDescent="0.2">
      <c r="C538" s="54"/>
      <c r="D538" s="54"/>
      <c r="E538" s="54"/>
      <c r="F538" s="54"/>
      <c r="G538" s="54"/>
      <c r="H538" s="54"/>
      <c r="T538" s="2"/>
      <c r="V538" s="2"/>
    </row>
    <row r="539" spans="3:22" s="53" customFormat="1" x14ac:dyDescent="0.2">
      <c r="C539" s="54"/>
      <c r="D539" s="54"/>
      <c r="E539" s="54"/>
      <c r="F539" s="54"/>
      <c r="G539" s="54"/>
      <c r="H539" s="54"/>
      <c r="T539" s="2"/>
      <c r="V539" s="2"/>
    </row>
    <row r="540" spans="3:22" s="53" customFormat="1" x14ac:dyDescent="0.2">
      <c r="C540" s="54"/>
      <c r="D540" s="54"/>
      <c r="E540" s="54"/>
      <c r="F540" s="54"/>
      <c r="G540" s="54"/>
      <c r="H540" s="54"/>
      <c r="T540" s="2"/>
      <c r="V540" s="2"/>
    </row>
    <row r="541" spans="3:22" s="53" customFormat="1" x14ac:dyDescent="0.2">
      <c r="C541" s="54"/>
      <c r="D541" s="54"/>
      <c r="E541" s="54"/>
      <c r="F541" s="54"/>
      <c r="G541" s="54"/>
      <c r="H541" s="54"/>
      <c r="T541" s="2"/>
      <c r="V541" s="2"/>
    </row>
    <row r="542" spans="3:22" s="53" customFormat="1" x14ac:dyDescent="0.2">
      <c r="C542" s="54"/>
      <c r="D542" s="54"/>
      <c r="E542" s="54"/>
      <c r="F542" s="54"/>
      <c r="G542" s="54"/>
      <c r="H542" s="54"/>
      <c r="T542" s="2"/>
      <c r="V542" s="2"/>
    </row>
    <row r="543" spans="3:22" s="53" customFormat="1" x14ac:dyDescent="0.2">
      <c r="C543" s="54"/>
      <c r="D543" s="54"/>
      <c r="E543" s="54"/>
      <c r="F543" s="54"/>
      <c r="G543" s="54"/>
      <c r="H543" s="54"/>
      <c r="T543" s="2"/>
      <c r="V543" s="2"/>
    </row>
    <row r="544" spans="3:22" s="53" customFormat="1" x14ac:dyDescent="0.2">
      <c r="C544" s="54"/>
      <c r="D544" s="54"/>
      <c r="E544" s="54"/>
      <c r="F544" s="54"/>
      <c r="G544" s="54"/>
      <c r="H544" s="54"/>
      <c r="T544" s="2"/>
      <c r="V544" s="2"/>
    </row>
    <row r="545" spans="3:22" s="53" customFormat="1" x14ac:dyDescent="0.2">
      <c r="C545" s="54"/>
      <c r="D545" s="54"/>
      <c r="E545" s="54"/>
      <c r="F545" s="54"/>
      <c r="G545" s="54"/>
      <c r="H545" s="54"/>
      <c r="T545" s="2"/>
      <c r="V545" s="2"/>
    </row>
    <row r="546" spans="3:22" s="53" customFormat="1" x14ac:dyDescent="0.2">
      <c r="C546" s="54"/>
      <c r="D546" s="54"/>
      <c r="E546" s="54"/>
      <c r="F546" s="54"/>
      <c r="G546" s="54"/>
      <c r="H546" s="54"/>
      <c r="T546" s="2"/>
      <c r="V546" s="2"/>
    </row>
    <row r="547" spans="3:22" s="53" customFormat="1" x14ac:dyDescent="0.2">
      <c r="C547" s="54"/>
      <c r="D547" s="54"/>
      <c r="E547" s="54"/>
      <c r="F547" s="54"/>
      <c r="G547" s="54"/>
      <c r="H547" s="54"/>
      <c r="T547" s="2"/>
      <c r="V547" s="2"/>
    </row>
    <row r="548" spans="3:22" s="53" customFormat="1" x14ac:dyDescent="0.2">
      <c r="C548" s="54"/>
      <c r="D548" s="54"/>
      <c r="E548" s="54"/>
      <c r="F548" s="54"/>
      <c r="G548" s="54"/>
      <c r="H548" s="54"/>
      <c r="T548" s="2"/>
      <c r="V548" s="2"/>
    </row>
    <row r="549" spans="3:22" s="53" customFormat="1" x14ac:dyDescent="0.2">
      <c r="C549" s="54"/>
      <c r="D549" s="54"/>
      <c r="E549" s="54"/>
      <c r="F549" s="54"/>
      <c r="G549" s="54"/>
      <c r="H549" s="54"/>
      <c r="T549" s="2"/>
      <c r="V549" s="2"/>
    </row>
    <row r="550" spans="3:22" s="53" customFormat="1" x14ac:dyDescent="0.2">
      <c r="C550" s="54"/>
      <c r="D550" s="54"/>
      <c r="E550" s="54"/>
      <c r="F550" s="54"/>
      <c r="G550" s="54"/>
      <c r="H550" s="54"/>
      <c r="T550" s="2"/>
      <c r="V550" s="2"/>
    </row>
    <row r="551" spans="3:22" s="53" customFormat="1" x14ac:dyDescent="0.2">
      <c r="C551" s="54"/>
      <c r="D551" s="54"/>
      <c r="E551" s="54"/>
      <c r="F551" s="54"/>
      <c r="G551" s="54"/>
      <c r="H551" s="54"/>
      <c r="T551" s="2"/>
      <c r="V551" s="2"/>
    </row>
    <row r="552" spans="3:22" s="53" customFormat="1" x14ac:dyDescent="0.2">
      <c r="C552" s="54"/>
      <c r="D552" s="54"/>
      <c r="E552" s="54"/>
      <c r="F552" s="54"/>
      <c r="G552" s="54"/>
      <c r="H552" s="54"/>
      <c r="T552" s="2"/>
      <c r="V552" s="2"/>
    </row>
    <row r="553" spans="3:22" s="53" customFormat="1" x14ac:dyDescent="0.2">
      <c r="C553" s="54"/>
      <c r="D553" s="54"/>
      <c r="E553" s="54"/>
      <c r="F553" s="54"/>
      <c r="G553" s="54"/>
      <c r="H553" s="54"/>
      <c r="T553" s="2"/>
      <c r="V553" s="2"/>
    </row>
    <row r="554" spans="3:22" s="53" customFormat="1" x14ac:dyDescent="0.2">
      <c r="C554" s="54"/>
      <c r="D554" s="54"/>
      <c r="E554" s="54"/>
      <c r="F554" s="54"/>
      <c r="G554" s="54"/>
      <c r="H554" s="54"/>
      <c r="T554" s="2"/>
      <c r="V554" s="2"/>
    </row>
    <row r="555" spans="3:22" s="53" customFormat="1" x14ac:dyDescent="0.2">
      <c r="C555" s="54"/>
      <c r="D555" s="54"/>
      <c r="E555" s="54"/>
      <c r="F555" s="54"/>
      <c r="G555" s="54"/>
      <c r="H555" s="54"/>
      <c r="T555" s="2"/>
      <c r="V555" s="2"/>
    </row>
    <row r="556" spans="3:22" s="53" customFormat="1" x14ac:dyDescent="0.2">
      <c r="C556" s="54"/>
      <c r="D556" s="54"/>
      <c r="E556" s="54"/>
      <c r="F556" s="54"/>
      <c r="G556" s="54"/>
      <c r="H556" s="54"/>
      <c r="T556" s="2"/>
      <c r="V556" s="2"/>
    </row>
    <row r="557" spans="3:22" s="53" customFormat="1" x14ac:dyDescent="0.2">
      <c r="C557" s="54"/>
      <c r="D557" s="54"/>
      <c r="E557" s="54"/>
      <c r="F557" s="54"/>
      <c r="G557" s="54"/>
      <c r="H557" s="54"/>
      <c r="T557" s="2"/>
      <c r="V557" s="2"/>
    </row>
    <row r="558" spans="3:22" s="53" customFormat="1" x14ac:dyDescent="0.2">
      <c r="C558" s="54"/>
      <c r="D558" s="54"/>
      <c r="E558" s="54"/>
      <c r="F558" s="54"/>
      <c r="G558" s="54"/>
      <c r="H558" s="54"/>
      <c r="T558" s="2"/>
      <c r="V558" s="2"/>
    </row>
    <row r="559" spans="3:22" s="53" customFormat="1" x14ac:dyDescent="0.2">
      <c r="C559" s="54"/>
      <c r="D559" s="54"/>
      <c r="E559" s="54"/>
      <c r="F559" s="54"/>
      <c r="G559" s="54"/>
      <c r="H559" s="54"/>
      <c r="T559" s="2"/>
      <c r="V559" s="2"/>
    </row>
    <row r="560" spans="3:22" s="53" customFormat="1" x14ac:dyDescent="0.2">
      <c r="C560" s="54"/>
      <c r="D560" s="54"/>
      <c r="E560" s="54"/>
      <c r="F560" s="54"/>
      <c r="G560" s="54"/>
      <c r="H560" s="54"/>
      <c r="T560" s="2"/>
      <c r="V560" s="2"/>
    </row>
    <row r="561" spans="3:22" s="53" customFormat="1" x14ac:dyDescent="0.2">
      <c r="C561" s="54"/>
      <c r="D561" s="54"/>
      <c r="E561" s="54"/>
      <c r="F561" s="54"/>
      <c r="G561" s="54"/>
      <c r="H561" s="54"/>
      <c r="T561" s="2"/>
      <c r="V561" s="2"/>
    </row>
    <row r="562" spans="3:22" s="53" customFormat="1" x14ac:dyDescent="0.2">
      <c r="C562" s="54"/>
      <c r="D562" s="54"/>
      <c r="E562" s="54"/>
      <c r="F562" s="54"/>
      <c r="G562" s="54"/>
      <c r="H562" s="54"/>
      <c r="T562" s="2"/>
      <c r="V562" s="2"/>
    </row>
    <row r="563" spans="3:22" s="53" customFormat="1" x14ac:dyDescent="0.2">
      <c r="C563" s="54"/>
      <c r="D563" s="54"/>
      <c r="E563" s="54"/>
      <c r="F563" s="54"/>
      <c r="G563" s="54"/>
      <c r="H563" s="54"/>
      <c r="T563" s="2"/>
      <c r="V563" s="2"/>
    </row>
    <row r="564" spans="3:22" s="53" customFormat="1" x14ac:dyDescent="0.2">
      <c r="C564" s="54"/>
      <c r="D564" s="54"/>
      <c r="E564" s="54"/>
      <c r="F564" s="54"/>
      <c r="G564" s="54"/>
      <c r="H564" s="54"/>
      <c r="T564" s="2"/>
      <c r="V564" s="2"/>
    </row>
    <row r="565" spans="3:22" s="53" customFormat="1" x14ac:dyDescent="0.2">
      <c r="C565" s="54"/>
      <c r="D565" s="54"/>
      <c r="E565" s="54"/>
      <c r="F565" s="54"/>
      <c r="G565" s="54"/>
      <c r="H565" s="54"/>
      <c r="T565" s="2"/>
      <c r="V565" s="2"/>
    </row>
    <row r="566" spans="3:22" s="53" customFormat="1" x14ac:dyDescent="0.2">
      <c r="C566" s="54"/>
      <c r="D566" s="54"/>
      <c r="E566" s="54"/>
      <c r="F566" s="54"/>
      <c r="G566" s="54"/>
      <c r="H566" s="54"/>
      <c r="T566" s="2"/>
      <c r="V566" s="2"/>
    </row>
    <row r="567" spans="3:22" s="53" customFormat="1" x14ac:dyDescent="0.2">
      <c r="C567" s="54"/>
      <c r="D567" s="54"/>
      <c r="E567" s="54"/>
      <c r="F567" s="54"/>
      <c r="G567" s="54"/>
      <c r="H567" s="54"/>
      <c r="T567" s="2"/>
      <c r="V567" s="2"/>
    </row>
    <row r="568" spans="3:22" s="53" customFormat="1" x14ac:dyDescent="0.2">
      <c r="C568" s="54"/>
      <c r="D568" s="54"/>
      <c r="E568" s="54"/>
      <c r="F568" s="54"/>
      <c r="G568" s="54"/>
      <c r="H568" s="54"/>
      <c r="T568" s="2"/>
      <c r="V568" s="2"/>
    </row>
    <row r="569" spans="3:22" s="53" customFormat="1" x14ac:dyDescent="0.2">
      <c r="C569" s="54"/>
      <c r="D569" s="54"/>
      <c r="E569" s="54"/>
      <c r="F569" s="54"/>
      <c r="G569" s="54"/>
      <c r="H569" s="54"/>
      <c r="T569" s="2"/>
      <c r="V569" s="2"/>
    </row>
    <row r="570" spans="3:22" s="53" customFormat="1" x14ac:dyDescent="0.2">
      <c r="C570" s="54"/>
      <c r="D570" s="54"/>
      <c r="E570" s="54"/>
      <c r="F570" s="54"/>
      <c r="G570" s="54"/>
      <c r="H570" s="54"/>
      <c r="T570" s="2"/>
      <c r="V570" s="2"/>
    </row>
    <row r="571" spans="3:22" s="53" customFormat="1" x14ac:dyDescent="0.2">
      <c r="C571" s="54"/>
      <c r="D571" s="54"/>
      <c r="E571" s="54"/>
      <c r="F571" s="54"/>
      <c r="G571" s="54"/>
      <c r="H571" s="54"/>
      <c r="T571" s="2"/>
      <c r="V571" s="2"/>
    </row>
    <row r="572" spans="3:22" s="53" customFormat="1" x14ac:dyDescent="0.2">
      <c r="C572" s="54"/>
      <c r="D572" s="54"/>
      <c r="E572" s="54"/>
      <c r="F572" s="54"/>
      <c r="G572" s="54"/>
      <c r="H572" s="54"/>
      <c r="T572" s="2"/>
      <c r="V572" s="2"/>
    </row>
    <row r="573" spans="3:22" s="53" customFormat="1" x14ac:dyDescent="0.2">
      <c r="C573" s="54"/>
      <c r="D573" s="54"/>
      <c r="E573" s="54"/>
      <c r="F573" s="54"/>
      <c r="G573" s="54"/>
      <c r="H573" s="54"/>
      <c r="T573" s="2"/>
      <c r="V573" s="2"/>
    </row>
    <row r="574" spans="3:22" s="53" customFormat="1" x14ac:dyDescent="0.2">
      <c r="C574" s="54"/>
      <c r="D574" s="54"/>
      <c r="E574" s="54"/>
      <c r="F574" s="54"/>
      <c r="G574" s="54"/>
      <c r="H574" s="54"/>
      <c r="T574" s="2"/>
      <c r="V574" s="2"/>
    </row>
  </sheetData>
  <sheetProtection algorithmName="SHA-512" hashValue="BcfUShtTWwvzpJukt1AAXw3vE49NC3v2sGAYBOmg5M75SPB6OeiDWQzVZYdud7fdVdlFTaWzjuBCeXoTqJm23A==" saltValue="uNBfZI0E4I24BuvGwZegsg==" spinCount="100000" sheet="1" objects="1" scenarios="1"/>
  <mergeCells count="2">
    <mergeCell ref="B3:L3"/>
    <mergeCell ref="B89:L89"/>
  </mergeCells>
  <pageMargins left="0.7" right="0.7" top="0.75" bottom="0.75" header="0.3" footer="0.3"/>
  <pageSetup paperSize="5" scale="85" orientation="landscape" r:id="rId1"/>
  <ignoredErrors>
    <ignoredError sqref="C94:H9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2020-2026</vt:lpstr>
      <vt:lpstr>2007-2019</vt:lpstr>
      <vt:lpstr>'2007-2019'!Print_Area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Assets &amp;amp; Liabilities - Category &amp;#39;A&amp;#39; - Non-Retail Banks 2007- 2015Q3</dc:title>
  <dc:creator>Development Policy</dc:creator>
  <cp:lastModifiedBy>David Forbes</cp:lastModifiedBy>
  <cp:lastPrinted>2018-03-12T19:46:03Z</cp:lastPrinted>
  <dcterms:created xsi:type="dcterms:W3CDTF">2009-02-11T18:05:35Z</dcterms:created>
  <dcterms:modified xsi:type="dcterms:W3CDTF">2026-07-27T19:56:33Z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tContentLanguage">
    <vt:i4>1033</vt:i4>
  </property>
  <property fmtid="{D5CDD505-2E9C-101B-9397-08002B2CF9AE}" pid="3" name="EktQuickLink">
    <vt:lpwstr>DownloadAsset.aspx?id=2147484996</vt:lpwstr>
  </property>
  <property fmtid="{D5CDD505-2E9C-101B-9397-08002B2CF9AE}" pid="4" name="EktContentType">
    <vt:i4>101</vt:i4>
  </property>
  <property fmtid="{D5CDD505-2E9C-101B-9397-08002B2CF9AE}" pid="5" name="EktContentSubType">
    <vt:i4>0</vt:i4>
  </property>
  <property fmtid="{D5CDD505-2E9C-101B-9397-08002B2CF9AE}" pid="6" name="EktFolderName">
    <vt:lpwstr/>
  </property>
  <property fmtid="{D5CDD505-2E9C-101B-9397-08002B2CF9AE}" pid="7" name="EktCmsPath">
    <vt:lpwstr/>
  </property>
  <property fmtid="{D5CDD505-2E9C-101B-9397-08002B2CF9AE}" pid="8" name="EktExpiryType">
    <vt:i4>1</vt:i4>
  </property>
  <property fmtid="{D5CDD505-2E9C-101B-9397-08002B2CF9AE}" pid="9" name="EktDateCreated">
    <vt:filetime>2015-12-11T14:19:34Z</vt:filetime>
  </property>
  <property fmtid="{D5CDD505-2E9C-101B-9397-08002B2CF9AE}" pid="10" name="EktDateModified">
    <vt:filetime>2015-12-11T14:19:38Z</vt:filetime>
  </property>
  <property fmtid="{D5CDD505-2E9C-101B-9397-08002B2CF9AE}" pid="11" name="EktTaxCategory">
    <vt:lpwstr/>
  </property>
  <property fmtid="{D5CDD505-2E9C-101B-9397-08002B2CF9AE}" pid="12" name="EktDisabledTaxCategory">
    <vt:lpwstr/>
  </property>
  <property fmtid="{D5CDD505-2E9C-101B-9397-08002B2CF9AE}" pid="13" name="EktCmsSize">
    <vt:i4>86016</vt:i4>
  </property>
  <property fmtid="{D5CDD505-2E9C-101B-9397-08002B2CF9AE}" pid="14" name="EktSearchable">
    <vt:i4>1</vt:i4>
  </property>
  <property fmtid="{D5CDD505-2E9C-101B-9397-08002B2CF9AE}" pid="15" name="EktEDescription">
    <vt:lpwstr>Statement of Assets &amp;amp;amp; Liabilities - Category 'A' - Non-Retail Banks 2007- 2015Q3</vt:lpwstr>
  </property>
  <property fmtid="{D5CDD505-2E9C-101B-9397-08002B2CF9AE}" pid="16" name="EktStatistics_and_Regulated_Entities">
    <vt:lpwstr>Bank statistics Category A Statistics Survey Survey Results </vt:lpwstr>
  </property>
</Properties>
</file>