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STATISTICS\DBA Domestic Banking Activity -DBA\DBA - Website - Statement of Assets &amp; Liabilities\Statement of Assets &amp; Liab - A Retail &amp; Non-Retail Banks\2022\"/>
    </mc:Choice>
  </mc:AlternateContent>
  <xr:revisionPtr revIDLastSave="0" documentId="13_ncr:1_{E1A76162-72BC-40B3-9525-329920F7FA27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2018-2022" sheetId="1" r:id="rId1"/>
    <sheet name="2007-2017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20" i="1" l="1"/>
  <c r="T138" i="1"/>
  <c r="T136" i="1"/>
  <c r="T135" i="1"/>
  <c r="T133" i="1"/>
  <c r="T132" i="1"/>
  <c r="T131" i="1"/>
  <c r="T130" i="1"/>
  <c r="T129" i="1"/>
  <c r="T126" i="1"/>
  <c r="T125" i="1"/>
  <c r="T124" i="1"/>
  <c r="T123" i="1"/>
  <c r="T122" i="1"/>
  <c r="T121" i="1"/>
  <c r="T119" i="1"/>
  <c r="T116" i="1"/>
  <c r="T115" i="1"/>
  <c r="T114" i="1"/>
  <c r="T113" i="1"/>
  <c r="T112" i="1"/>
  <c r="T111" i="1"/>
  <c r="T110" i="1"/>
  <c r="T109" i="1"/>
  <c r="T106" i="1"/>
  <c r="T105" i="1"/>
  <c r="T104" i="1"/>
  <c r="T103" i="1"/>
  <c r="T102" i="1"/>
  <c r="T101" i="1"/>
  <c r="T100" i="1"/>
  <c r="T99" i="1"/>
  <c r="T96" i="1"/>
  <c r="T95" i="1"/>
  <c r="T94" i="1"/>
  <c r="T88" i="1"/>
  <c r="T87" i="1"/>
  <c r="T85" i="1"/>
  <c r="T84" i="1"/>
  <c r="T83" i="1"/>
  <c r="T82" i="1"/>
  <c r="T81" i="1"/>
  <c r="T78" i="1"/>
  <c r="T77" i="1"/>
  <c r="T76" i="1"/>
  <c r="T75" i="1"/>
  <c r="T73" i="1"/>
  <c r="T72" i="1"/>
  <c r="T71" i="1"/>
  <c r="T70" i="1"/>
  <c r="T69" i="1"/>
  <c r="T67" i="1"/>
  <c r="T66" i="1"/>
  <c r="T65" i="1"/>
  <c r="T62" i="1"/>
  <c r="T61" i="1"/>
  <c r="T60" i="1"/>
  <c r="T58" i="1"/>
  <c r="T57" i="1"/>
  <c r="T51" i="1"/>
  <c r="T50" i="1"/>
  <c r="T49" i="1"/>
  <c r="T48" i="1"/>
  <c r="T47" i="1"/>
  <c r="T44" i="1"/>
  <c r="T43" i="1"/>
  <c r="T42" i="1"/>
  <c r="T41" i="1"/>
  <c r="T40" i="1"/>
  <c r="T36" i="1"/>
  <c r="T35" i="1"/>
  <c r="T34" i="1"/>
  <c r="T33" i="1"/>
  <c r="T32" i="1"/>
  <c r="T29" i="1"/>
  <c r="T28" i="1"/>
  <c r="T27" i="1"/>
  <c r="T26" i="1"/>
  <c r="T25" i="1"/>
  <c r="T24" i="1"/>
  <c r="T23" i="1"/>
  <c r="T19" i="1"/>
  <c r="T18" i="1"/>
  <c r="T17" i="1"/>
  <c r="T16" i="1"/>
  <c r="T15" i="1"/>
  <c r="T12" i="1"/>
  <c r="T11" i="1"/>
  <c r="T10" i="1"/>
  <c r="T8" i="1"/>
  <c r="T7" i="1"/>
  <c r="T9" i="1" l="1"/>
  <c r="T14" i="1"/>
  <c r="T22" i="1"/>
  <c r="T31" i="1"/>
  <c r="T39" i="1"/>
  <c r="T46" i="1"/>
  <c r="T59" i="1"/>
  <c r="T64" i="1"/>
  <c r="T68" i="1"/>
  <c r="T74" i="1"/>
  <c r="T80" i="1"/>
  <c r="T98" i="1"/>
  <c r="T108" i="1"/>
  <c r="T118" i="1"/>
  <c r="T128" i="1"/>
  <c r="T137" i="1"/>
  <c r="T139" i="1" s="1"/>
  <c r="S138" i="1"/>
  <c r="S136" i="1"/>
  <c r="S135" i="1"/>
  <c r="S133" i="1"/>
  <c r="S132" i="1"/>
  <c r="S131" i="1"/>
  <c r="S130" i="1"/>
  <c r="S129" i="1"/>
  <c r="S126" i="1"/>
  <c r="S125" i="1"/>
  <c r="S124" i="1"/>
  <c r="S123" i="1"/>
  <c r="S122" i="1"/>
  <c r="S121" i="1"/>
  <c r="S120" i="1"/>
  <c r="S119" i="1"/>
  <c r="S116" i="1"/>
  <c r="S115" i="1"/>
  <c r="S114" i="1"/>
  <c r="S113" i="1"/>
  <c r="S112" i="1"/>
  <c r="S111" i="1"/>
  <c r="S110" i="1"/>
  <c r="S109" i="1"/>
  <c r="S106" i="1"/>
  <c r="S105" i="1"/>
  <c r="S104" i="1"/>
  <c r="S103" i="1"/>
  <c r="S102" i="1"/>
  <c r="S101" i="1"/>
  <c r="S100" i="1"/>
  <c r="S99" i="1"/>
  <c r="S95" i="1"/>
  <c r="S96" i="1"/>
  <c r="S94" i="1"/>
  <c r="S88" i="1"/>
  <c r="S87" i="1"/>
  <c r="S85" i="1"/>
  <c r="S84" i="1"/>
  <c r="S83" i="1"/>
  <c r="S82" i="1"/>
  <c r="S81" i="1"/>
  <c r="S78" i="1"/>
  <c r="S77" i="1"/>
  <c r="S76" i="1"/>
  <c r="S75" i="1"/>
  <c r="S73" i="1"/>
  <c r="S72" i="1"/>
  <c r="S71" i="1"/>
  <c r="S70" i="1"/>
  <c r="S69" i="1"/>
  <c r="S67" i="1"/>
  <c r="S66" i="1"/>
  <c r="S65" i="1"/>
  <c r="S62" i="1"/>
  <c r="S61" i="1"/>
  <c r="S60" i="1"/>
  <c r="S58" i="1"/>
  <c r="S57" i="1"/>
  <c r="S51" i="1"/>
  <c r="S50" i="1"/>
  <c r="S49" i="1"/>
  <c r="S48" i="1"/>
  <c r="S47" i="1"/>
  <c r="S44" i="1"/>
  <c r="S43" i="1"/>
  <c r="S42" i="1"/>
  <c r="S41" i="1"/>
  <c r="S40" i="1"/>
  <c r="S36" i="1"/>
  <c r="S35" i="1"/>
  <c r="S34" i="1"/>
  <c r="S33" i="1"/>
  <c r="S32" i="1"/>
  <c r="S29" i="1"/>
  <c r="S28" i="1"/>
  <c r="S27" i="1"/>
  <c r="S26" i="1"/>
  <c r="S25" i="1"/>
  <c r="S24" i="1"/>
  <c r="S23" i="1"/>
  <c r="S19" i="1"/>
  <c r="S18" i="1"/>
  <c r="S17" i="1"/>
  <c r="S16" i="1"/>
  <c r="S12" i="1"/>
  <c r="S11" i="1"/>
  <c r="S10" i="1"/>
  <c r="S8" i="1"/>
  <c r="S7" i="1"/>
  <c r="T63" i="1" l="1"/>
  <c r="T21" i="1"/>
  <c r="T38" i="1"/>
  <c r="S15" i="1"/>
  <c r="T56" i="1"/>
  <c r="T55" i="1" s="1"/>
  <c r="W139" i="3"/>
  <c r="W140" i="3" s="1"/>
  <c r="W137" i="3"/>
  <c r="W136" i="3"/>
  <c r="W134" i="3"/>
  <c r="W133" i="3"/>
  <c r="W132" i="3"/>
  <c r="W131" i="3"/>
  <c r="W129" i="3" s="1"/>
  <c r="W127" i="3"/>
  <c r="W126" i="3"/>
  <c r="W119" i="3" s="1"/>
  <c r="W125" i="3"/>
  <c r="W124" i="3"/>
  <c r="W116" i="3"/>
  <c r="W109" i="3" s="1"/>
  <c r="W114" i="3"/>
  <c r="W107" i="3"/>
  <c r="W106" i="3"/>
  <c r="W99" i="3" s="1"/>
  <c r="W105" i="3"/>
  <c r="W104" i="3"/>
  <c r="W97" i="3"/>
  <c r="W138" i="3" s="1"/>
  <c r="W96" i="3"/>
  <c r="W95" i="3"/>
  <c r="W88" i="3"/>
  <c r="W87" i="3"/>
  <c r="W85" i="3"/>
  <c r="W84" i="3"/>
  <c r="W83" i="3"/>
  <c r="W80" i="3" s="1"/>
  <c r="W78" i="3"/>
  <c r="W72" i="3"/>
  <c r="W68" i="3"/>
  <c r="W63" i="3"/>
  <c r="W56" i="3"/>
  <c r="W49" i="3"/>
  <c r="W48" i="3" s="1"/>
  <c r="W45" i="3"/>
  <c r="W41" i="3" s="1"/>
  <c r="W40" i="3"/>
  <c r="W38" i="3"/>
  <c r="W33" i="3"/>
  <c r="W22" i="3"/>
  <c r="W21" i="3"/>
  <c r="W16" i="3"/>
  <c r="W15" i="3"/>
  <c r="W14" i="3" s="1"/>
  <c r="W11" i="3"/>
  <c r="W9" i="3" s="1"/>
  <c r="W10" i="3"/>
  <c r="W8" i="3"/>
  <c r="W7" i="3"/>
  <c r="V139" i="3"/>
  <c r="V137" i="3"/>
  <c r="V134" i="3"/>
  <c r="V133" i="3"/>
  <c r="V132" i="3"/>
  <c r="V130" i="3"/>
  <c r="V129" i="3" s="1"/>
  <c r="V127" i="3"/>
  <c r="V126" i="3"/>
  <c r="V125" i="3"/>
  <c r="V119" i="3" s="1"/>
  <c r="V124" i="3"/>
  <c r="V116" i="3"/>
  <c r="V109" i="3"/>
  <c r="V107" i="3"/>
  <c r="V106" i="3"/>
  <c r="V104" i="3"/>
  <c r="V99" i="3"/>
  <c r="V96" i="3"/>
  <c r="V97" i="3" s="1"/>
  <c r="V138" i="3" s="1"/>
  <c r="V95" i="3"/>
  <c r="V88" i="3"/>
  <c r="V87" i="3"/>
  <c r="V85" i="3"/>
  <c r="V84" i="3"/>
  <c r="V80" i="3" s="1"/>
  <c r="V83" i="3"/>
  <c r="V81" i="3"/>
  <c r="V78" i="3"/>
  <c r="V74" i="3" s="1"/>
  <c r="V72" i="3"/>
  <c r="V68" i="3"/>
  <c r="V63" i="3"/>
  <c r="V59" i="3"/>
  <c r="V56" i="3"/>
  <c r="V55" i="3"/>
  <c r="V49" i="3"/>
  <c r="V48" i="3" s="1"/>
  <c r="V40" i="3" s="1"/>
  <c r="V45" i="3"/>
  <c r="V41" i="3"/>
  <c r="V38" i="3"/>
  <c r="V33" i="3"/>
  <c r="V21" i="3" s="1"/>
  <c r="V22" i="3"/>
  <c r="V16" i="3"/>
  <c r="V15" i="3"/>
  <c r="V14" i="3"/>
  <c r="V11" i="3"/>
  <c r="V9" i="3" s="1"/>
  <c r="V8" i="3" s="1"/>
  <c r="V10" i="3"/>
  <c r="V7" i="3"/>
  <c r="S137" i="1"/>
  <c r="R138" i="1"/>
  <c r="R136" i="1"/>
  <c r="R135" i="1"/>
  <c r="R133" i="1"/>
  <c r="R132" i="1"/>
  <c r="R131" i="1"/>
  <c r="R130" i="1"/>
  <c r="R129" i="1"/>
  <c r="R126" i="1"/>
  <c r="R125" i="1"/>
  <c r="R124" i="1"/>
  <c r="R123" i="1"/>
  <c r="R122" i="1"/>
  <c r="R121" i="1"/>
  <c r="R120" i="1"/>
  <c r="R119" i="1"/>
  <c r="R116" i="1"/>
  <c r="R115" i="1"/>
  <c r="R114" i="1"/>
  <c r="R113" i="1"/>
  <c r="R112" i="1"/>
  <c r="R111" i="1"/>
  <c r="R110" i="1"/>
  <c r="R109" i="1"/>
  <c r="R106" i="1"/>
  <c r="R105" i="1"/>
  <c r="R104" i="1"/>
  <c r="R103" i="1"/>
  <c r="R102" i="1"/>
  <c r="R101" i="1"/>
  <c r="R100" i="1"/>
  <c r="R99" i="1"/>
  <c r="R96" i="1"/>
  <c r="R95" i="1"/>
  <c r="R94" i="1"/>
  <c r="R88" i="1"/>
  <c r="R87" i="1"/>
  <c r="R85" i="1"/>
  <c r="R84" i="1"/>
  <c r="R83" i="1"/>
  <c r="R82" i="1"/>
  <c r="R81" i="1"/>
  <c r="R78" i="1"/>
  <c r="R77" i="1"/>
  <c r="R76" i="1"/>
  <c r="R75" i="1"/>
  <c r="R73" i="1"/>
  <c r="R72" i="1"/>
  <c r="R71" i="1"/>
  <c r="R70" i="1"/>
  <c r="R69" i="1"/>
  <c r="R67" i="1"/>
  <c r="R66" i="1"/>
  <c r="R65" i="1"/>
  <c r="R62" i="1"/>
  <c r="R61" i="1"/>
  <c r="R60" i="1"/>
  <c r="R58" i="1"/>
  <c r="R57" i="1"/>
  <c r="R51" i="1"/>
  <c r="R50" i="1"/>
  <c r="R49" i="1"/>
  <c r="R48" i="1"/>
  <c r="R47" i="1"/>
  <c r="R44" i="1"/>
  <c r="R43" i="1"/>
  <c r="R42" i="1"/>
  <c r="R41" i="1"/>
  <c r="R40" i="1"/>
  <c r="R36" i="1"/>
  <c r="R35" i="1"/>
  <c r="R34" i="1"/>
  <c r="R33" i="1"/>
  <c r="R32" i="1"/>
  <c r="R29" i="1"/>
  <c r="R28" i="1"/>
  <c r="R27" i="1"/>
  <c r="R26" i="1"/>
  <c r="R25" i="1"/>
  <c r="R24" i="1"/>
  <c r="R23" i="1"/>
  <c r="R19" i="1"/>
  <c r="R18" i="1"/>
  <c r="R17" i="1"/>
  <c r="R16" i="1"/>
  <c r="R15" i="1"/>
  <c r="R12" i="1"/>
  <c r="R11" i="1"/>
  <c r="R10" i="1"/>
  <c r="R8" i="1"/>
  <c r="R7" i="1"/>
  <c r="Q138" i="1"/>
  <c r="Q135" i="1"/>
  <c r="Q136" i="1"/>
  <c r="Q133" i="1"/>
  <c r="Q132" i="1"/>
  <c r="Q131" i="1"/>
  <c r="Q130" i="1"/>
  <c r="Q129" i="1"/>
  <c r="Q126" i="1"/>
  <c r="Q125" i="1"/>
  <c r="Q124" i="1"/>
  <c r="Q123" i="1"/>
  <c r="Q122" i="1"/>
  <c r="Q121" i="1"/>
  <c r="Q120" i="1"/>
  <c r="Q119" i="1"/>
  <c r="Q116" i="1"/>
  <c r="Q115" i="1"/>
  <c r="Q114" i="1"/>
  <c r="Q113" i="1"/>
  <c r="Q112" i="1"/>
  <c r="Q111" i="1"/>
  <c r="Q110" i="1"/>
  <c r="Q109" i="1"/>
  <c r="Q100" i="1"/>
  <c r="Q101" i="1"/>
  <c r="Q102" i="1"/>
  <c r="Q103" i="1"/>
  <c r="Q104" i="1"/>
  <c r="Q105" i="1"/>
  <c r="Q106" i="1"/>
  <c r="Q99" i="1"/>
  <c r="Q96" i="1"/>
  <c r="Q95" i="1"/>
  <c r="Q94" i="1"/>
  <c r="Q88" i="1"/>
  <c r="Q87" i="1"/>
  <c r="Q82" i="1"/>
  <c r="Q83" i="1"/>
  <c r="Q84" i="1"/>
  <c r="Q85" i="1"/>
  <c r="Q81" i="1"/>
  <c r="Q78" i="1"/>
  <c r="Q77" i="1"/>
  <c r="Q76" i="1"/>
  <c r="Q75" i="1"/>
  <c r="Q73" i="1"/>
  <c r="Q72" i="1"/>
  <c r="Q71" i="1"/>
  <c r="Q70" i="1"/>
  <c r="Q69" i="1"/>
  <c r="Q67" i="1"/>
  <c r="Q66" i="1"/>
  <c r="Q65" i="1"/>
  <c r="Q61" i="1"/>
  <c r="Q62" i="1"/>
  <c r="Q60" i="1"/>
  <c r="Q58" i="1"/>
  <c r="Q57" i="1"/>
  <c r="Q48" i="1"/>
  <c r="Q49" i="1"/>
  <c r="Q50" i="1"/>
  <c r="Q51" i="1"/>
  <c r="Q47" i="1"/>
  <c r="Q41" i="1"/>
  <c r="Q42" i="1"/>
  <c r="Q43" i="1"/>
  <c r="Q44" i="1"/>
  <c r="Q40" i="1"/>
  <c r="Q33" i="1"/>
  <c r="Q34" i="1"/>
  <c r="Q35" i="1"/>
  <c r="Q36" i="1"/>
  <c r="Q32" i="1"/>
  <c r="Q24" i="1"/>
  <c r="Q25" i="1"/>
  <c r="Q26" i="1"/>
  <c r="Q27" i="1"/>
  <c r="Q28" i="1"/>
  <c r="Q29" i="1"/>
  <c r="Q23" i="1"/>
  <c r="Q16" i="1"/>
  <c r="Q17" i="1"/>
  <c r="Q18" i="1"/>
  <c r="Q19" i="1"/>
  <c r="Q15" i="1"/>
  <c r="Q11" i="1"/>
  <c r="Q12" i="1"/>
  <c r="Q10" i="1"/>
  <c r="Q8" i="1"/>
  <c r="Q7" i="1"/>
  <c r="P138" i="1"/>
  <c r="P136" i="1"/>
  <c r="P135" i="1"/>
  <c r="P133" i="1"/>
  <c r="P132" i="1"/>
  <c r="P131" i="1"/>
  <c r="P130" i="1"/>
  <c r="P129" i="1"/>
  <c r="P126" i="1"/>
  <c r="P125" i="1"/>
  <c r="P124" i="1"/>
  <c r="P123" i="1"/>
  <c r="P122" i="1"/>
  <c r="P121" i="1"/>
  <c r="P120" i="1"/>
  <c r="P119" i="1"/>
  <c r="P116" i="1"/>
  <c r="P115" i="1"/>
  <c r="P114" i="1"/>
  <c r="P113" i="1"/>
  <c r="P112" i="1"/>
  <c r="P111" i="1"/>
  <c r="P110" i="1"/>
  <c r="P109" i="1"/>
  <c r="P106" i="1"/>
  <c r="P105" i="1"/>
  <c r="P104" i="1"/>
  <c r="P103" i="1"/>
  <c r="P102" i="1"/>
  <c r="P101" i="1"/>
  <c r="P100" i="1"/>
  <c r="P99" i="1"/>
  <c r="P95" i="1"/>
  <c r="P96" i="1"/>
  <c r="P94" i="1"/>
  <c r="P88" i="1"/>
  <c r="P87" i="1"/>
  <c r="P85" i="1"/>
  <c r="P84" i="1"/>
  <c r="P83" i="1"/>
  <c r="P82" i="1"/>
  <c r="P81" i="1"/>
  <c r="P78" i="1"/>
  <c r="P77" i="1"/>
  <c r="P76" i="1"/>
  <c r="P75" i="1"/>
  <c r="P73" i="1"/>
  <c r="P72" i="1"/>
  <c r="P71" i="1"/>
  <c r="P70" i="1"/>
  <c r="P69" i="1"/>
  <c r="P67" i="1"/>
  <c r="P66" i="1"/>
  <c r="P65" i="1"/>
  <c r="P62" i="1"/>
  <c r="P61" i="1"/>
  <c r="P60" i="1"/>
  <c r="P58" i="1"/>
  <c r="P57" i="1"/>
  <c r="P51" i="1"/>
  <c r="P50" i="1"/>
  <c r="P49" i="1"/>
  <c r="P48" i="1"/>
  <c r="P47" i="1"/>
  <c r="P44" i="1"/>
  <c r="P43" i="1"/>
  <c r="P42" i="1"/>
  <c r="P41" i="1"/>
  <c r="P40" i="1"/>
  <c r="P36" i="1"/>
  <c r="P35" i="1"/>
  <c r="P34" i="1"/>
  <c r="P33" i="1"/>
  <c r="P32" i="1"/>
  <c r="P29" i="1"/>
  <c r="P28" i="1"/>
  <c r="P27" i="1"/>
  <c r="P26" i="1"/>
  <c r="P25" i="1"/>
  <c r="P24" i="1"/>
  <c r="P23" i="1"/>
  <c r="P19" i="1"/>
  <c r="P18" i="1"/>
  <c r="P17" i="1"/>
  <c r="P16" i="1"/>
  <c r="P15" i="1"/>
  <c r="P12" i="1"/>
  <c r="P11" i="1"/>
  <c r="P10" i="1"/>
  <c r="P8" i="1"/>
  <c r="P7" i="1"/>
  <c r="T89" i="1" l="1"/>
  <c r="R39" i="1"/>
  <c r="R137" i="1"/>
  <c r="R139" i="1" s="1"/>
  <c r="R64" i="1"/>
  <c r="S46" i="1"/>
  <c r="S128" i="1"/>
  <c r="W89" i="3"/>
  <c r="W55" i="3"/>
  <c r="V89" i="3"/>
  <c r="V140" i="3"/>
  <c r="S9" i="1"/>
  <c r="S98" i="1"/>
  <c r="S139" i="1"/>
  <c r="S118" i="1"/>
  <c r="S108" i="1"/>
  <c r="R9" i="1"/>
  <c r="R46" i="1"/>
  <c r="R59" i="1"/>
  <c r="R74" i="1"/>
  <c r="R98" i="1"/>
  <c r="R108" i="1"/>
  <c r="R118" i="1"/>
  <c r="R128" i="1"/>
  <c r="R22" i="1"/>
  <c r="R68" i="1"/>
  <c r="R14" i="1"/>
  <c r="R31" i="1"/>
  <c r="R80" i="1"/>
  <c r="Q80" i="1"/>
  <c r="Q108" i="1"/>
  <c r="Q118" i="1"/>
  <c r="Q128" i="1"/>
  <c r="Q59" i="1"/>
  <c r="Q68" i="1"/>
  <c r="Q39" i="1"/>
  <c r="Q14" i="1"/>
  <c r="Q74" i="1"/>
  <c r="Q98" i="1"/>
  <c r="Q64" i="1"/>
  <c r="Q137" i="1"/>
  <c r="Q139" i="1" s="1"/>
  <c r="Q46" i="1"/>
  <c r="Q31" i="1"/>
  <c r="Q22" i="1"/>
  <c r="Q9" i="1"/>
  <c r="P9" i="1"/>
  <c r="P14" i="1"/>
  <c r="P22" i="1"/>
  <c r="P31" i="1"/>
  <c r="P39" i="1"/>
  <c r="P46" i="1"/>
  <c r="P59" i="1"/>
  <c r="P64" i="1"/>
  <c r="P68" i="1"/>
  <c r="P74" i="1"/>
  <c r="P80" i="1"/>
  <c r="P98" i="1"/>
  <c r="P108" i="1"/>
  <c r="P118" i="1"/>
  <c r="P128" i="1"/>
  <c r="P137" i="1"/>
  <c r="P139" i="1" s="1"/>
  <c r="R63" i="1" l="1"/>
  <c r="R38" i="1"/>
  <c r="R21" i="1"/>
  <c r="S39" i="1"/>
  <c r="S38" i="1" s="1"/>
  <c r="S31" i="1" s="1"/>
  <c r="S22" i="1" s="1"/>
  <c r="S21" i="1" s="1"/>
  <c r="S14" i="1" s="1"/>
  <c r="R56" i="1"/>
  <c r="R55" i="1" s="1"/>
  <c r="Q38" i="1"/>
  <c r="Q21" i="1"/>
  <c r="Q63" i="1"/>
  <c r="Q56" i="1" s="1"/>
  <c r="Q55" i="1" s="1"/>
  <c r="P63" i="1"/>
  <c r="P56" i="1" s="1"/>
  <c r="P55" i="1" s="1"/>
  <c r="P21" i="1"/>
  <c r="P38" i="1"/>
  <c r="O138" i="1"/>
  <c r="O136" i="1"/>
  <c r="O135" i="1"/>
  <c r="O133" i="1"/>
  <c r="O132" i="1"/>
  <c r="O131" i="1"/>
  <c r="O130" i="1"/>
  <c r="O129" i="1"/>
  <c r="O126" i="1"/>
  <c r="O125" i="1"/>
  <c r="O124" i="1"/>
  <c r="O123" i="1"/>
  <c r="O122" i="1"/>
  <c r="O121" i="1"/>
  <c r="O120" i="1"/>
  <c r="O119" i="1"/>
  <c r="O116" i="1"/>
  <c r="O115" i="1"/>
  <c r="O114" i="1"/>
  <c r="O113" i="1"/>
  <c r="O112" i="1"/>
  <c r="O111" i="1"/>
  <c r="O110" i="1"/>
  <c r="O109" i="1"/>
  <c r="O106" i="1"/>
  <c r="O100" i="1"/>
  <c r="O101" i="1"/>
  <c r="O102" i="1"/>
  <c r="O103" i="1"/>
  <c r="O104" i="1"/>
  <c r="O105" i="1"/>
  <c r="O99" i="1"/>
  <c r="O96" i="1"/>
  <c r="O95" i="1"/>
  <c r="O94" i="1"/>
  <c r="O88" i="1"/>
  <c r="O87" i="1"/>
  <c r="O85" i="1"/>
  <c r="O84" i="1"/>
  <c r="O83" i="1"/>
  <c r="O82" i="1"/>
  <c r="O81" i="1"/>
  <c r="O78" i="1"/>
  <c r="O77" i="1"/>
  <c r="O76" i="1"/>
  <c r="O75" i="1"/>
  <c r="O73" i="1"/>
  <c r="O72" i="1"/>
  <c r="O71" i="1"/>
  <c r="O70" i="1"/>
  <c r="O69" i="1"/>
  <c r="O67" i="1"/>
  <c r="O66" i="1"/>
  <c r="O65" i="1"/>
  <c r="O62" i="1"/>
  <c r="O61" i="1"/>
  <c r="O60" i="1"/>
  <c r="O58" i="1"/>
  <c r="O57" i="1"/>
  <c r="O51" i="1"/>
  <c r="O50" i="1"/>
  <c r="O49" i="1"/>
  <c r="O48" i="1"/>
  <c r="O47" i="1"/>
  <c r="O44" i="1"/>
  <c r="O43" i="1"/>
  <c r="O42" i="1"/>
  <c r="O41" i="1"/>
  <c r="O40" i="1"/>
  <c r="O36" i="1"/>
  <c r="O35" i="1"/>
  <c r="O34" i="1"/>
  <c r="O33" i="1"/>
  <c r="O32" i="1"/>
  <c r="O29" i="1"/>
  <c r="O28" i="1"/>
  <c r="O27" i="1"/>
  <c r="O26" i="1"/>
  <c r="O25" i="1"/>
  <c r="O24" i="1"/>
  <c r="O23" i="1"/>
  <c r="O19" i="1"/>
  <c r="O18" i="1"/>
  <c r="O17" i="1"/>
  <c r="O16" i="1"/>
  <c r="O15" i="1"/>
  <c r="O12" i="1"/>
  <c r="O11" i="1"/>
  <c r="O10" i="1"/>
  <c r="O8" i="1"/>
  <c r="O7" i="1"/>
  <c r="R89" i="1" l="1"/>
  <c r="O64" i="1"/>
  <c r="Q89" i="1"/>
  <c r="O59" i="1"/>
  <c r="P89" i="1"/>
  <c r="O14" i="1"/>
  <c r="O22" i="1"/>
  <c r="O68" i="1"/>
  <c r="O9" i="1"/>
  <c r="O80" i="1"/>
  <c r="O137" i="1"/>
  <c r="O139" i="1" s="1"/>
  <c r="O128" i="1"/>
  <c r="O46" i="1"/>
  <c r="O108" i="1"/>
  <c r="O118" i="1"/>
  <c r="O31" i="1"/>
  <c r="O39" i="1"/>
  <c r="O38" i="1" s="1"/>
  <c r="O98" i="1"/>
  <c r="O74" i="1"/>
  <c r="O63" i="1" l="1"/>
  <c r="O56" i="1" s="1"/>
  <c r="O55" i="1" s="1"/>
  <c r="O21" i="1"/>
  <c r="O89" i="1" l="1"/>
  <c r="N78" i="1"/>
  <c r="N77" i="1"/>
  <c r="N76" i="1"/>
  <c r="N75" i="1"/>
  <c r="N73" i="1"/>
  <c r="N72" i="1"/>
  <c r="N71" i="1"/>
  <c r="N70" i="1"/>
  <c r="N69" i="1"/>
  <c r="N67" i="1"/>
  <c r="N66" i="1"/>
  <c r="N65" i="1"/>
  <c r="N61" i="1"/>
  <c r="N62" i="1"/>
  <c r="N60" i="1"/>
  <c r="N138" i="1"/>
  <c r="N136" i="1"/>
  <c r="N135" i="1"/>
  <c r="N96" i="1"/>
  <c r="N95" i="1"/>
  <c r="N94" i="1"/>
  <c r="N88" i="1"/>
  <c r="N87" i="1"/>
  <c r="N133" i="1"/>
  <c r="N132" i="1"/>
  <c r="N131" i="1"/>
  <c r="N130" i="1"/>
  <c r="N129" i="1"/>
  <c r="N126" i="1"/>
  <c r="N125" i="1"/>
  <c r="N124" i="1"/>
  <c r="N123" i="1"/>
  <c r="N122" i="1"/>
  <c r="N121" i="1"/>
  <c r="N120" i="1"/>
  <c r="N119" i="1"/>
  <c r="N116" i="1"/>
  <c r="N115" i="1"/>
  <c r="N114" i="1"/>
  <c r="N113" i="1"/>
  <c r="N112" i="1"/>
  <c r="N111" i="1"/>
  <c r="N110" i="1"/>
  <c r="N109" i="1"/>
  <c r="N106" i="1"/>
  <c r="N105" i="1"/>
  <c r="N104" i="1"/>
  <c r="N103" i="1"/>
  <c r="N102" i="1"/>
  <c r="N101" i="1"/>
  <c r="N100" i="1"/>
  <c r="N99" i="1"/>
  <c r="N85" i="1"/>
  <c r="N84" i="1"/>
  <c r="N83" i="1"/>
  <c r="N82" i="1"/>
  <c r="N81" i="1"/>
  <c r="N58" i="1"/>
  <c r="N57" i="1"/>
  <c r="N51" i="1"/>
  <c r="N50" i="1"/>
  <c r="N49" i="1"/>
  <c r="N48" i="1"/>
  <c r="N47" i="1"/>
  <c r="N44" i="1"/>
  <c r="N43" i="1"/>
  <c r="N42" i="1"/>
  <c r="N41" i="1"/>
  <c r="N40" i="1"/>
  <c r="N36" i="1"/>
  <c r="N35" i="1"/>
  <c r="N34" i="1"/>
  <c r="N33" i="1"/>
  <c r="N32" i="1"/>
  <c r="N29" i="1"/>
  <c r="N28" i="1"/>
  <c r="N27" i="1"/>
  <c r="N26" i="1"/>
  <c r="N25" i="1"/>
  <c r="N24" i="1"/>
  <c r="N23" i="1"/>
  <c r="N19" i="1"/>
  <c r="N18" i="1"/>
  <c r="N17" i="1"/>
  <c r="N16" i="1"/>
  <c r="N15" i="1"/>
  <c r="N12" i="1"/>
  <c r="N11" i="1"/>
  <c r="N10" i="1"/>
  <c r="N8" i="1"/>
  <c r="N7" i="1" l="1"/>
  <c r="M7" i="1"/>
  <c r="N74" i="1" l="1"/>
  <c r="N128" i="1"/>
  <c r="N137" i="1"/>
  <c r="N139" i="1" s="1"/>
  <c r="N46" i="1" l="1"/>
  <c r="N22" i="1"/>
  <c r="N80" i="1"/>
  <c r="N64" i="1"/>
  <c r="N59" i="1"/>
  <c r="N39" i="1"/>
  <c r="N31" i="1"/>
  <c r="N9" i="1"/>
  <c r="N108" i="1"/>
  <c r="N68" i="1"/>
  <c r="N14" i="1"/>
  <c r="N118" i="1"/>
  <c r="N98" i="1"/>
  <c r="M138" i="1"/>
  <c r="M136" i="1"/>
  <c r="M135" i="1"/>
  <c r="M133" i="1"/>
  <c r="M132" i="1"/>
  <c r="M131" i="1"/>
  <c r="M130" i="1"/>
  <c r="M129" i="1"/>
  <c r="M126" i="1"/>
  <c r="M125" i="1"/>
  <c r="M124" i="1"/>
  <c r="M123" i="1"/>
  <c r="M122" i="1"/>
  <c r="M121" i="1"/>
  <c r="M120" i="1"/>
  <c r="M119" i="1"/>
  <c r="M116" i="1"/>
  <c r="M115" i="1"/>
  <c r="M114" i="1"/>
  <c r="M113" i="1"/>
  <c r="M112" i="1"/>
  <c r="M111" i="1"/>
  <c r="M110" i="1"/>
  <c r="M109" i="1"/>
  <c r="M106" i="1"/>
  <c r="M105" i="1"/>
  <c r="M104" i="1"/>
  <c r="M103" i="1"/>
  <c r="M102" i="1"/>
  <c r="M101" i="1"/>
  <c r="M100" i="1"/>
  <c r="M99" i="1"/>
  <c r="M96" i="1"/>
  <c r="M95" i="1"/>
  <c r="M94" i="1"/>
  <c r="M88" i="1"/>
  <c r="M87" i="1"/>
  <c r="M85" i="1"/>
  <c r="M84" i="1"/>
  <c r="M83" i="1"/>
  <c r="M82" i="1"/>
  <c r="M81" i="1"/>
  <c r="M78" i="1"/>
  <c r="M77" i="1"/>
  <c r="M76" i="1"/>
  <c r="M75" i="1"/>
  <c r="M73" i="1"/>
  <c r="M72" i="1"/>
  <c r="M71" i="1"/>
  <c r="M70" i="1"/>
  <c r="M69" i="1"/>
  <c r="M67" i="1"/>
  <c r="M66" i="1"/>
  <c r="M65" i="1"/>
  <c r="M61" i="1"/>
  <c r="M62" i="1"/>
  <c r="M60" i="1"/>
  <c r="M58" i="1"/>
  <c r="M57" i="1"/>
  <c r="M51" i="1"/>
  <c r="M50" i="1"/>
  <c r="M49" i="1"/>
  <c r="M48" i="1"/>
  <c r="M47" i="1"/>
  <c r="M44" i="1"/>
  <c r="M43" i="1"/>
  <c r="M42" i="1"/>
  <c r="M41" i="1"/>
  <c r="M40" i="1"/>
  <c r="M36" i="1"/>
  <c r="M35" i="1"/>
  <c r="M34" i="1"/>
  <c r="M33" i="1"/>
  <c r="M32" i="1"/>
  <c r="M24" i="1"/>
  <c r="M25" i="1"/>
  <c r="M26" i="1"/>
  <c r="M27" i="1"/>
  <c r="M28" i="1"/>
  <c r="M29" i="1"/>
  <c r="M23" i="1"/>
  <c r="M16" i="1"/>
  <c r="M17" i="1"/>
  <c r="M18" i="1"/>
  <c r="M19" i="1"/>
  <c r="M15" i="1"/>
  <c r="M11" i="1"/>
  <c r="M12" i="1"/>
  <c r="M10" i="1"/>
  <c r="M8" i="1"/>
  <c r="N38" i="1" l="1"/>
  <c r="N63" i="1"/>
  <c r="N56" i="1" s="1"/>
  <c r="N55" i="1" s="1"/>
  <c r="N21" i="1"/>
  <c r="M137" i="1"/>
  <c r="M139" i="1" s="1"/>
  <c r="M128" i="1"/>
  <c r="M118" i="1"/>
  <c r="M108" i="1"/>
  <c r="M98" i="1"/>
  <c r="M59" i="1"/>
  <c r="M22" i="1"/>
  <c r="M80" i="1"/>
  <c r="M74" i="1"/>
  <c r="M68" i="1"/>
  <c r="M64" i="1"/>
  <c r="M46" i="1"/>
  <c r="M39" i="1"/>
  <c r="M31" i="1"/>
  <c r="M14" i="1"/>
  <c r="M9" i="1"/>
  <c r="N89" i="1" l="1"/>
  <c r="M63" i="1"/>
  <c r="M56" i="1" s="1"/>
  <c r="M55" i="1" s="1"/>
  <c r="M38" i="1"/>
  <c r="M21" i="1"/>
  <c r="K36" i="1"/>
  <c r="K34" i="1"/>
  <c r="K33" i="1"/>
  <c r="J36" i="1"/>
  <c r="J34" i="1"/>
  <c r="J33" i="1"/>
  <c r="M89" i="1" l="1"/>
  <c r="I36" i="1"/>
  <c r="I34" i="1" l="1"/>
  <c r="I33" i="1"/>
  <c r="H36" i="1"/>
  <c r="H34" i="1"/>
  <c r="H33" i="1"/>
  <c r="G33" i="1"/>
  <c r="L135" i="1" l="1"/>
  <c r="L138" i="1"/>
  <c r="L136" i="1"/>
  <c r="L133" i="1"/>
  <c r="L132" i="1"/>
  <c r="L131" i="1"/>
  <c r="L130" i="1"/>
  <c r="L129" i="1"/>
  <c r="L126" i="1"/>
  <c r="L125" i="1"/>
  <c r="L124" i="1"/>
  <c r="L123" i="1"/>
  <c r="L122" i="1"/>
  <c r="L121" i="1"/>
  <c r="L120" i="1"/>
  <c r="L119" i="1"/>
  <c r="L116" i="1"/>
  <c r="L115" i="1"/>
  <c r="L114" i="1"/>
  <c r="L113" i="1"/>
  <c r="L112" i="1"/>
  <c r="L111" i="1"/>
  <c r="L110" i="1"/>
  <c r="L109" i="1"/>
  <c r="L100" i="1"/>
  <c r="L101" i="1"/>
  <c r="L102" i="1"/>
  <c r="L103" i="1"/>
  <c r="L104" i="1"/>
  <c r="L105" i="1"/>
  <c r="L106" i="1"/>
  <c r="L99" i="1"/>
  <c r="L95" i="1"/>
  <c r="L96" i="1"/>
  <c r="L94" i="1"/>
  <c r="L88" i="1"/>
  <c r="L87" i="1"/>
  <c r="L85" i="1"/>
  <c r="L84" i="1"/>
  <c r="L83" i="1"/>
  <c r="L82" i="1"/>
  <c r="L81" i="1"/>
  <c r="L78" i="1"/>
  <c r="L77" i="1"/>
  <c r="L76" i="1"/>
  <c r="L75" i="1"/>
  <c r="L73" i="1"/>
  <c r="L72" i="1"/>
  <c r="L71" i="1"/>
  <c r="L70" i="1"/>
  <c r="L69" i="1"/>
  <c r="L67" i="1"/>
  <c r="L66" i="1"/>
  <c r="L65" i="1"/>
  <c r="L61" i="1"/>
  <c r="L62" i="1"/>
  <c r="L60" i="1"/>
  <c r="L58" i="1"/>
  <c r="L57" i="1"/>
  <c r="L51" i="1"/>
  <c r="L50" i="1"/>
  <c r="L49" i="1"/>
  <c r="L48" i="1"/>
  <c r="L47" i="1"/>
  <c r="L44" i="1"/>
  <c r="L43" i="1"/>
  <c r="L42" i="1"/>
  <c r="L41" i="1"/>
  <c r="L40" i="1"/>
  <c r="L36" i="1"/>
  <c r="L35" i="1"/>
  <c r="L34" i="1"/>
  <c r="L33" i="1"/>
  <c r="L32" i="1"/>
  <c r="L24" i="1"/>
  <c r="L25" i="1"/>
  <c r="L26" i="1"/>
  <c r="L27" i="1"/>
  <c r="L28" i="1"/>
  <c r="L29" i="1"/>
  <c r="L23" i="1"/>
  <c r="L19" i="1"/>
  <c r="L18" i="1"/>
  <c r="L17" i="1"/>
  <c r="L16" i="1"/>
  <c r="L15" i="1"/>
  <c r="L11" i="1"/>
  <c r="L12" i="1"/>
  <c r="L10" i="1"/>
  <c r="L8" i="1"/>
  <c r="L7" i="1"/>
  <c r="L9" i="1" l="1"/>
  <c r="L14" i="1"/>
  <c r="L22" i="1"/>
  <c r="L31" i="1"/>
  <c r="L39" i="1"/>
  <c r="L46" i="1"/>
  <c r="L59" i="1"/>
  <c r="L64" i="1"/>
  <c r="L68" i="1"/>
  <c r="L74" i="1"/>
  <c r="L80" i="1"/>
  <c r="L98" i="1"/>
  <c r="L108" i="1"/>
  <c r="L118" i="1"/>
  <c r="L128" i="1"/>
  <c r="L137" i="1"/>
  <c r="L139" i="1" s="1"/>
  <c r="K138" i="1"/>
  <c r="K136" i="1"/>
  <c r="K135" i="1"/>
  <c r="K133" i="1"/>
  <c r="K132" i="1"/>
  <c r="K131" i="1"/>
  <c r="K130" i="1"/>
  <c r="K129" i="1"/>
  <c r="K126" i="1"/>
  <c r="K125" i="1"/>
  <c r="K124" i="1"/>
  <c r="K123" i="1"/>
  <c r="K122" i="1"/>
  <c r="K121" i="1"/>
  <c r="K120" i="1"/>
  <c r="K119" i="1"/>
  <c r="K116" i="1"/>
  <c r="K115" i="1"/>
  <c r="K114" i="1"/>
  <c r="K113" i="1"/>
  <c r="K112" i="1"/>
  <c r="K111" i="1"/>
  <c r="K110" i="1"/>
  <c r="K109" i="1"/>
  <c r="K106" i="1"/>
  <c r="K105" i="1"/>
  <c r="K104" i="1"/>
  <c r="K103" i="1"/>
  <c r="K102" i="1"/>
  <c r="K101" i="1"/>
  <c r="K100" i="1"/>
  <c r="K99" i="1"/>
  <c r="K96" i="1"/>
  <c r="K95" i="1"/>
  <c r="K94" i="1"/>
  <c r="K88" i="1"/>
  <c r="K87" i="1"/>
  <c r="K85" i="1"/>
  <c r="K84" i="1"/>
  <c r="K83" i="1"/>
  <c r="K82" i="1"/>
  <c r="K81" i="1"/>
  <c r="K78" i="1"/>
  <c r="K77" i="1"/>
  <c r="K76" i="1"/>
  <c r="K75" i="1"/>
  <c r="K73" i="1"/>
  <c r="K72" i="1"/>
  <c r="K71" i="1"/>
  <c r="K70" i="1"/>
  <c r="K69" i="1"/>
  <c r="K67" i="1"/>
  <c r="K66" i="1"/>
  <c r="K65" i="1"/>
  <c r="K62" i="1"/>
  <c r="K61" i="1"/>
  <c r="K60" i="1"/>
  <c r="K58" i="1"/>
  <c r="K57" i="1"/>
  <c r="K50" i="1"/>
  <c r="K47" i="1"/>
  <c r="K44" i="1"/>
  <c r="K43" i="1"/>
  <c r="K42" i="1"/>
  <c r="K41" i="1"/>
  <c r="K40" i="1"/>
  <c r="K35" i="1"/>
  <c r="K32" i="1"/>
  <c r="K29" i="1"/>
  <c r="K28" i="1"/>
  <c r="K27" i="1"/>
  <c r="K26" i="1"/>
  <c r="K25" i="1"/>
  <c r="K24" i="1"/>
  <c r="K23" i="1"/>
  <c r="K19" i="1"/>
  <c r="K18" i="1"/>
  <c r="K17" i="1"/>
  <c r="K16" i="1"/>
  <c r="K15" i="1"/>
  <c r="K12" i="1"/>
  <c r="K11" i="1"/>
  <c r="K10" i="1"/>
  <c r="K8" i="1"/>
  <c r="J8" i="1"/>
  <c r="K137" i="1" l="1"/>
  <c r="L63" i="1"/>
  <c r="L56" i="1" s="1"/>
  <c r="L55" i="1" s="1"/>
  <c r="L21" i="1"/>
  <c r="L38" i="1"/>
  <c r="K7" i="1"/>
  <c r="L89" i="1" l="1"/>
  <c r="J138" i="1"/>
  <c r="J136" i="1"/>
  <c r="J135" i="1"/>
  <c r="J133" i="1"/>
  <c r="J132" i="1"/>
  <c r="J131" i="1"/>
  <c r="J130" i="1"/>
  <c r="J129" i="1"/>
  <c r="J126" i="1"/>
  <c r="J125" i="1"/>
  <c r="J124" i="1"/>
  <c r="J123" i="1"/>
  <c r="J122" i="1"/>
  <c r="J121" i="1"/>
  <c r="J120" i="1"/>
  <c r="J119" i="1"/>
  <c r="J116" i="1"/>
  <c r="J115" i="1"/>
  <c r="J114" i="1"/>
  <c r="J113" i="1"/>
  <c r="J112" i="1"/>
  <c r="J111" i="1"/>
  <c r="J110" i="1"/>
  <c r="J109" i="1"/>
  <c r="J106" i="1"/>
  <c r="J105" i="1"/>
  <c r="J104" i="1"/>
  <c r="J103" i="1"/>
  <c r="J102" i="1"/>
  <c r="J101" i="1"/>
  <c r="J100" i="1"/>
  <c r="J99" i="1"/>
  <c r="J96" i="1"/>
  <c r="J95" i="1"/>
  <c r="J94" i="1"/>
  <c r="J88" i="1"/>
  <c r="J87" i="1"/>
  <c r="J85" i="1"/>
  <c r="J84" i="1"/>
  <c r="J83" i="1"/>
  <c r="J82" i="1"/>
  <c r="J81" i="1"/>
  <c r="J78" i="1"/>
  <c r="J77" i="1"/>
  <c r="J76" i="1"/>
  <c r="J75" i="1"/>
  <c r="J73" i="1"/>
  <c r="J72" i="1"/>
  <c r="J71" i="1"/>
  <c r="J70" i="1"/>
  <c r="J69" i="1"/>
  <c r="J67" i="1"/>
  <c r="J66" i="1"/>
  <c r="J65" i="1"/>
  <c r="J62" i="1"/>
  <c r="J61" i="1"/>
  <c r="J60" i="1"/>
  <c r="J58" i="1"/>
  <c r="J57" i="1"/>
  <c r="J50" i="1"/>
  <c r="J47" i="1"/>
  <c r="J44" i="1"/>
  <c r="J43" i="1"/>
  <c r="J42" i="1"/>
  <c r="J41" i="1"/>
  <c r="J40" i="1"/>
  <c r="J35" i="1"/>
  <c r="J32" i="1"/>
  <c r="J29" i="1"/>
  <c r="J28" i="1"/>
  <c r="J27" i="1"/>
  <c r="J26" i="1"/>
  <c r="J25" i="1"/>
  <c r="J24" i="1"/>
  <c r="J23" i="1"/>
  <c r="J19" i="1"/>
  <c r="J18" i="1"/>
  <c r="J17" i="1"/>
  <c r="J16" i="1"/>
  <c r="J15" i="1"/>
  <c r="J12" i="1"/>
  <c r="J11" i="1"/>
  <c r="J10" i="1"/>
  <c r="J7" i="1"/>
  <c r="K64" i="1" l="1"/>
  <c r="K80" i="1" l="1"/>
  <c r="K31" i="1"/>
  <c r="K14" i="1"/>
  <c r="K74" i="1"/>
  <c r="K68" i="1"/>
  <c r="K63" i="1" s="1"/>
  <c r="K139" i="1"/>
  <c r="K118" i="1"/>
  <c r="K108" i="1"/>
  <c r="K98" i="1"/>
  <c r="K46" i="1"/>
  <c r="K39" i="1"/>
  <c r="K128" i="1"/>
  <c r="K59" i="1"/>
  <c r="K22" i="1"/>
  <c r="K9" i="1"/>
  <c r="K21" i="1" l="1"/>
  <c r="K38" i="1"/>
  <c r="K56" i="1"/>
  <c r="K55" i="1" s="1"/>
  <c r="J64" i="1"/>
  <c r="K89" i="1" l="1"/>
  <c r="J59" i="1"/>
  <c r="J128" i="1"/>
  <c r="J118" i="1"/>
  <c r="J108" i="1"/>
  <c r="J98" i="1"/>
  <c r="J137" i="1"/>
  <c r="J80" i="1"/>
  <c r="J74" i="1"/>
  <c r="J68" i="1"/>
  <c r="J63" i="1" s="1"/>
  <c r="J46" i="1"/>
  <c r="J39" i="1"/>
  <c r="J31" i="1"/>
  <c r="J22" i="1"/>
  <c r="J14" i="1"/>
  <c r="J9" i="1"/>
  <c r="J56" i="1" l="1"/>
  <c r="J55" i="1" s="1"/>
  <c r="J38" i="1"/>
  <c r="J21" i="1"/>
  <c r="J139" i="1"/>
  <c r="J89" i="1" l="1"/>
  <c r="I96" i="1" l="1"/>
  <c r="I88" i="1"/>
  <c r="I87" i="1"/>
  <c r="I138" i="1" l="1"/>
  <c r="I136" i="1"/>
  <c r="I131" i="1"/>
  <c r="I125" i="1"/>
  <c r="I115" i="1"/>
  <c r="I105" i="1"/>
  <c r="I104" i="1"/>
  <c r="I95" i="1"/>
  <c r="I94" i="1"/>
  <c r="I83" i="1"/>
  <c r="I72" i="1"/>
  <c r="I47" i="1"/>
  <c r="I32" i="1"/>
  <c r="I16" i="1"/>
  <c r="I15" i="1"/>
  <c r="I11" i="1"/>
  <c r="I10" i="1"/>
  <c r="I8" i="1"/>
  <c r="I7" i="1"/>
  <c r="I59" i="1" l="1"/>
  <c r="I9" i="1" l="1"/>
  <c r="I128" i="1"/>
  <c r="I118" i="1"/>
  <c r="I108" i="1"/>
  <c r="I98" i="1"/>
  <c r="I137" i="1"/>
  <c r="I139" i="1" s="1"/>
  <c r="I80" i="1"/>
  <c r="I74" i="1"/>
  <c r="I68" i="1"/>
  <c r="I63" i="1" s="1"/>
  <c r="I46" i="1"/>
  <c r="I39" i="1"/>
  <c r="I31" i="1"/>
  <c r="I22" i="1"/>
  <c r="I14" i="1"/>
  <c r="I38" i="1" l="1"/>
  <c r="I21" i="1"/>
  <c r="I56" i="1"/>
  <c r="I55" i="1" s="1"/>
  <c r="H96" i="1"/>
  <c r="H8" i="1"/>
  <c r="H115" i="1"/>
  <c r="H95" i="1"/>
  <c r="H94" i="1"/>
  <c r="H138" i="1"/>
  <c r="H131" i="1"/>
  <c r="H125" i="1"/>
  <c r="H87" i="1"/>
  <c r="H72" i="1"/>
  <c r="H10" i="1"/>
  <c r="H136" i="1"/>
  <c r="I89" i="1" l="1"/>
  <c r="H11" i="1"/>
  <c r="G72" i="1" l="1"/>
  <c r="H137" i="1" l="1"/>
  <c r="H128" i="1"/>
  <c r="H105" i="1"/>
  <c r="H104" i="1"/>
  <c r="H98" i="1" s="1"/>
  <c r="H88" i="1"/>
  <c r="H83" i="1"/>
  <c r="H80" i="1" s="1"/>
  <c r="H74" i="1"/>
  <c r="H68" i="1"/>
  <c r="H63" i="1" s="1"/>
  <c r="H59" i="1"/>
  <c r="H47" i="1"/>
  <c r="H46" i="1" s="1"/>
  <c r="H32" i="1"/>
  <c r="H16" i="1"/>
  <c r="H15" i="1"/>
  <c r="H9" i="1"/>
  <c r="H7" i="1"/>
  <c r="H118" i="1"/>
  <c r="H108" i="1"/>
  <c r="H39" i="1"/>
  <c r="H22" i="1"/>
  <c r="H14" i="1" l="1"/>
  <c r="H56" i="1"/>
  <c r="H55" i="1" s="1"/>
  <c r="H38" i="1"/>
  <c r="H31" i="1"/>
  <c r="H21" i="1" s="1"/>
  <c r="H139" i="1"/>
  <c r="G36" i="1"/>
  <c r="H89" i="1" l="1"/>
  <c r="G138" i="1"/>
  <c r="G115" i="1"/>
  <c r="G105" i="1"/>
  <c r="G104" i="1"/>
  <c r="G96" i="1"/>
  <c r="G95" i="1"/>
  <c r="G16" i="1"/>
  <c r="G8" i="1"/>
  <c r="G136" i="1" l="1"/>
  <c r="G131" i="1"/>
  <c r="G125" i="1"/>
  <c r="G94" i="1"/>
  <c r="G88" i="1"/>
  <c r="G87" i="1"/>
  <c r="G83" i="1"/>
  <c r="G80" i="1" s="1"/>
  <c r="G63" i="1"/>
  <c r="G47" i="1"/>
  <c r="G39" i="1"/>
  <c r="G34" i="1"/>
  <c r="G32" i="1"/>
  <c r="G15" i="1"/>
  <c r="G11" i="1"/>
  <c r="G10" i="1"/>
  <c r="G7" i="1"/>
  <c r="G9" i="1" l="1"/>
  <c r="G137" i="1"/>
  <c r="G139" i="1" s="1"/>
  <c r="G128" i="1"/>
  <c r="G118" i="1"/>
  <c r="G108" i="1"/>
  <c r="G98" i="1"/>
  <c r="G56" i="1"/>
  <c r="G55" i="1" s="1"/>
  <c r="G46" i="1"/>
  <c r="G38" i="1" s="1"/>
  <c r="G31" i="1"/>
  <c r="G22" i="1"/>
  <c r="G14" i="1"/>
  <c r="G21" i="1" l="1"/>
  <c r="G89" i="1" s="1"/>
  <c r="U139" i="3"/>
  <c r="U137" i="3"/>
  <c r="U134" i="3"/>
  <c r="U133" i="3"/>
  <c r="U132" i="3"/>
  <c r="U131" i="3"/>
  <c r="U129" i="3"/>
  <c r="U127" i="3"/>
  <c r="U126" i="3"/>
  <c r="U119" i="3"/>
  <c r="U116" i="3"/>
  <c r="U109" i="3"/>
  <c r="U107" i="3"/>
  <c r="U106" i="3"/>
  <c r="U99" i="3"/>
  <c r="U97" i="3"/>
  <c r="U96" i="3"/>
  <c r="U95" i="3"/>
  <c r="U88" i="3"/>
  <c r="U87" i="3"/>
  <c r="U85" i="3"/>
  <c r="U84" i="3"/>
  <c r="U83" i="3"/>
  <c r="U81" i="3"/>
  <c r="U80" i="3"/>
  <c r="U75" i="3"/>
  <c r="U74" i="3"/>
  <c r="U72" i="3"/>
  <c r="U68" i="3" s="1"/>
  <c r="U64" i="3"/>
  <c r="U63" i="3"/>
  <c r="U62" i="3"/>
  <c r="U59" i="3"/>
  <c r="U56" i="3"/>
  <c r="U55" i="3"/>
  <c r="U48" i="3"/>
  <c r="U45" i="3"/>
  <c r="U41" i="3"/>
  <c r="U40" i="3"/>
  <c r="U38" i="3"/>
  <c r="U34" i="3"/>
  <c r="U33" i="3"/>
  <c r="U21" i="3"/>
  <c r="U16" i="3"/>
  <c r="U15" i="3"/>
  <c r="U14" i="3"/>
  <c r="U11" i="3"/>
  <c r="U10" i="3"/>
  <c r="U9" i="3"/>
  <c r="U8" i="3"/>
  <c r="U7" i="3"/>
  <c r="F138" i="1"/>
  <c r="F136" i="1"/>
  <c r="F135" i="1"/>
  <c r="F133" i="1"/>
  <c r="F132" i="1"/>
  <c r="F131" i="1"/>
  <c r="F130" i="1"/>
  <c r="F129" i="1"/>
  <c r="F126" i="1"/>
  <c r="F125" i="1"/>
  <c r="F124" i="1"/>
  <c r="F123" i="1"/>
  <c r="F122" i="1"/>
  <c r="F121" i="1"/>
  <c r="F120" i="1"/>
  <c r="F119" i="1"/>
  <c r="F116" i="1"/>
  <c r="F115" i="1"/>
  <c r="F114" i="1"/>
  <c r="F113" i="1"/>
  <c r="F112" i="1"/>
  <c r="F111" i="1"/>
  <c r="F110" i="1"/>
  <c r="F109" i="1"/>
  <c r="F106" i="1"/>
  <c r="F105" i="1"/>
  <c r="F104" i="1"/>
  <c r="F103" i="1"/>
  <c r="F102" i="1"/>
  <c r="F101" i="1"/>
  <c r="F100" i="1"/>
  <c r="F99" i="1"/>
  <c r="F96" i="1"/>
  <c r="F95" i="1"/>
  <c r="F94" i="1"/>
  <c r="F88" i="1"/>
  <c r="F87" i="1"/>
  <c r="F85" i="1"/>
  <c r="F84" i="1"/>
  <c r="F83" i="1"/>
  <c r="F82" i="1"/>
  <c r="F81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1" i="1"/>
  <c r="F50" i="1"/>
  <c r="F49" i="1"/>
  <c r="F48" i="1"/>
  <c r="F47" i="1"/>
  <c r="F43" i="1"/>
  <c r="F42" i="1"/>
  <c r="F41" i="1"/>
  <c r="F38" i="1"/>
  <c r="F36" i="1"/>
  <c r="F35" i="1"/>
  <c r="F34" i="1"/>
  <c r="F33" i="1"/>
  <c r="F32" i="1"/>
  <c r="F29" i="1"/>
  <c r="F28" i="1"/>
  <c r="F27" i="1"/>
  <c r="F26" i="1"/>
  <c r="F25" i="1"/>
  <c r="F24" i="1"/>
  <c r="F23" i="1"/>
  <c r="F19" i="1"/>
  <c r="F18" i="1"/>
  <c r="F17" i="1"/>
  <c r="F16" i="1"/>
  <c r="F15" i="1"/>
  <c r="F12" i="1"/>
  <c r="F11" i="1"/>
  <c r="F10" i="1"/>
  <c r="F8" i="1"/>
  <c r="F7" i="1"/>
  <c r="E78" i="1"/>
  <c r="E74" i="1"/>
  <c r="E7" i="1"/>
  <c r="E82" i="1"/>
  <c r="E36" i="1"/>
  <c r="D22" i="1"/>
  <c r="E63" i="1"/>
  <c r="E68" i="1"/>
  <c r="E138" i="1"/>
  <c r="E136" i="1"/>
  <c r="E135" i="1"/>
  <c r="E133" i="1"/>
  <c r="E132" i="1"/>
  <c r="E131" i="1"/>
  <c r="E130" i="1"/>
  <c r="E126" i="1"/>
  <c r="E125" i="1"/>
  <c r="E124" i="1"/>
  <c r="E119" i="1"/>
  <c r="E116" i="1"/>
  <c r="E115" i="1"/>
  <c r="E109" i="1"/>
  <c r="E106" i="1"/>
  <c r="E105" i="1"/>
  <c r="E104" i="1"/>
  <c r="E103" i="1"/>
  <c r="E101" i="1"/>
  <c r="E100" i="1"/>
  <c r="E99" i="1"/>
  <c r="E96" i="1"/>
  <c r="E95" i="1"/>
  <c r="E94" i="1"/>
  <c r="E88" i="1"/>
  <c r="E87" i="1"/>
  <c r="E85" i="1"/>
  <c r="E84" i="1"/>
  <c r="E83" i="1"/>
  <c r="E73" i="1"/>
  <c r="E72" i="1"/>
  <c r="E60" i="1"/>
  <c r="E57" i="1"/>
  <c r="E48" i="1"/>
  <c r="E47" i="1"/>
  <c r="E43" i="1"/>
  <c r="E39" i="1" s="1"/>
  <c r="E38" i="1"/>
  <c r="E35" i="1"/>
  <c r="E34" i="1"/>
  <c r="E33" i="1"/>
  <c r="E32" i="1"/>
  <c r="E23" i="1"/>
  <c r="E22" i="1" s="1"/>
  <c r="E17" i="1"/>
  <c r="E16" i="1"/>
  <c r="E15" i="1"/>
  <c r="E11" i="1"/>
  <c r="E10" i="1"/>
  <c r="E9" i="1"/>
  <c r="E8" i="1"/>
  <c r="D138" i="1"/>
  <c r="D136" i="1"/>
  <c r="D133" i="1"/>
  <c r="D132" i="1"/>
  <c r="D131" i="1"/>
  <c r="D130" i="1"/>
  <c r="D126" i="1"/>
  <c r="D125" i="1"/>
  <c r="D115" i="1"/>
  <c r="D108" i="1" s="1"/>
  <c r="D106" i="1"/>
  <c r="D105" i="1"/>
  <c r="D104" i="1"/>
  <c r="D96" i="1"/>
  <c r="D95" i="1"/>
  <c r="D94" i="1"/>
  <c r="D68" i="1"/>
  <c r="D63" i="1" s="1"/>
  <c r="D56" i="1" s="1"/>
  <c r="D38" i="1"/>
  <c r="D47" i="1"/>
  <c r="D46" i="1" s="1"/>
  <c r="D88" i="1"/>
  <c r="D87" i="1"/>
  <c r="D85" i="1"/>
  <c r="D84" i="1"/>
  <c r="D83" i="1"/>
  <c r="D72" i="1"/>
  <c r="D43" i="1"/>
  <c r="D39" i="1" s="1"/>
  <c r="D36" i="1"/>
  <c r="D31" i="1" s="1"/>
  <c r="D16" i="1"/>
  <c r="D15" i="1"/>
  <c r="D11" i="1"/>
  <c r="D10" i="1"/>
  <c r="D8" i="1"/>
  <c r="D7" i="1"/>
  <c r="C132" i="1"/>
  <c r="C94" i="1"/>
  <c r="C96" i="1"/>
  <c r="C138" i="1"/>
  <c r="C136" i="1"/>
  <c r="C135" i="1"/>
  <c r="C133" i="1"/>
  <c r="C131" i="1"/>
  <c r="C130" i="1"/>
  <c r="C126" i="1"/>
  <c r="C125" i="1"/>
  <c r="C124" i="1"/>
  <c r="C115" i="1"/>
  <c r="C108" i="1" s="1"/>
  <c r="C106" i="1"/>
  <c r="C105" i="1"/>
  <c r="C104" i="1"/>
  <c r="C95" i="1"/>
  <c r="C88" i="1"/>
  <c r="C87" i="1"/>
  <c r="C85" i="1"/>
  <c r="C84" i="1"/>
  <c r="C83" i="1"/>
  <c r="C72" i="1"/>
  <c r="C68" i="1"/>
  <c r="C63" i="1"/>
  <c r="C56" i="1" s="1"/>
  <c r="C47" i="1"/>
  <c r="C46" i="1" s="1"/>
  <c r="C43" i="1"/>
  <c r="C39" i="1" s="1"/>
  <c r="C38" i="1"/>
  <c r="C36" i="1"/>
  <c r="C31" i="1" s="1"/>
  <c r="C23" i="1"/>
  <c r="C22" i="1" s="1"/>
  <c r="C16" i="1"/>
  <c r="C15" i="1"/>
  <c r="C14" i="1" s="1"/>
  <c r="C11" i="1"/>
  <c r="C10" i="1"/>
  <c r="C8" i="1"/>
  <c r="C7" i="1"/>
  <c r="T139" i="3"/>
  <c r="T137" i="3"/>
  <c r="T134" i="3"/>
  <c r="T133" i="3"/>
  <c r="T132" i="3"/>
  <c r="T130" i="3"/>
  <c r="T129" i="3"/>
  <c r="T127" i="3"/>
  <c r="T126" i="3"/>
  <c r="T125" i="3"/>
  <c r="T124" i="3"/>
  <c r="T122" i="3"/>
  <c r="T119" i="3"/>
  <c r="T117" i="3"/>
  <c r="T116" i="3"/>
  <c r="T109" i="3"/>
  <c r="T107" i="3"/>
  <c r="T106" i="3"/>
  <c r="T105" i="3"/>
  <c r="T104" i="3"/>
  <c r="T102" i="3"/>
  <c r="T100" i="3"/>
  <c r="T99" i="3"/>
  <c r="T96" i="3"/>
  <c r="T97" i="3" s="1"/>
  <c r="T95" i="3"/>
  <c r="T88" i="3"/>
  <c r="T87" i="3"/>
  <c r="T85" i="3"/>
  <c r="T84" i="3"/>
  <c r="T83" i="3"/>
  <c r="T81" i="3"/>
  <c r="T80" i="3"/>
  <c r="T78" i="3"/>
  <c r="T75" i="3"/>
  <c r="T74" i="3"/>
  <c r="T73" i="3"/>
  <c r="T72" i="3"/>
  <c r="T70" i="3"/>
  <c r="T64" i="3"/>
  <c r="T63" i="3"/>
  <c r="T62" i="3"/>
  <c r="T59" i="3"/>
  <c r="T58" i="3"/>
  <c r="T57" i="3"/>
  <c r="T56" i="3"/>
  <c r="T55" i="3"/>
  <c r="T51" i="3"/>
  <c r="T48" i="3"/>
  <c r="T45" i="3"/>
  <c r="T41" i="3"/>
  <c r="T40" i="3"/>
  <c r="T38" i="3"/>
  <c r="T37" i="3"/>
  <c r="T35" i="3"/>
  <c r="T33" i="3"/>
  <c r="T23" i="3"/>
  <c r="T22" i="3"/>
  <c r="T21" i="3"/>
  <c r="T16" i="3"/>
  <c r="T15" i="3"/>
  <c r="T14" i="3"/>
  <c r="T10" i="3"/>
  <c r="T9" i="3"/>
  <c r="T8" i="3"/>
  <c r="T7" i="3"/>
  <c r="S139" i="3"/>
  <c r="S137" i="3"/>
  <c r="S136" i="3"/>
  <c r="S134" i="3"/>
  <c r="S133" i="3"/>
  <c r="S132" i="3"/>
  <c r="S131" i="3"/>
  <c r="S130" i="3"/>
  <c r="S129" i="3"/>
  <c r="S127" i="3"/>
  <c r="S126" i="3"/>
  <c r="S125" i="3"/>
  <c r="S124" i="3"/>
  <c r="S122" i="3"/>
  <c r="S121" i="3"/>
  <c r="S119" i="3"/>
  <c r="S117" i="3"/>
  <c r="S116" i="3"/>
  <c r="S115" i="3"/>
  <c r="S114" i="3"/>
  <c r="S113" i="3"/>
  <c r="S112" i="3"/>
  <c r="S111" i="3"/>
  <c r="S110" i="3"/>
  <c r="S109" i="3"/>
  <c r="S107" i="3"/>
  <c r="S106" i="3"/>
  <c r="S105" i="3"/>
  <c r="S104" i="3"/>
  <c r="S102" i="3"/>
  <c r="S101" i="3"/>
  <c r="S100" i="3"/>
  <c r="S99" i="3"/>
  <c r="S96" i="3"/>
  <c r="S95" i="3"/>
  <c r="S97" i="3" s="1"/>
  <c r="S88" i="3"/>
  <c r="S87" i="3"/>
  <c r="S83" i="3"/>
  <c r="S82" i="3"/>
  <c r="S81" i="3"/>
  <c r="S80" i="3"/>
  <c r="S78" i="3"/>
  <c r="S76" i="3"/>
  <c r="S75" i="3"/>
  <c r="S74" i="3"/>
  <c r="S73" i="3"/>
  <c r="S72" i="3"/>
  <c r="S71" i="3"/>
  <c r="S68" i="3" s="1"/>
  <c r="S70" i="3"/>
  <c r="S64" i="3"/>
  <c r="S63" i="3"/>
  <c r="S62" i="3"/>
  <c r="S61" i="3"/>
  <c r="S60" i="3"/>
  <c r="S59" i="3"/>
  <c r="S58" i="3"/>
  <c r="S57" i="3"/>
  <c r="S56" i="3"/>
  <c r="S55" i="3"/>
  <c r="S49" i="3"/>
  <c r="S48" i="3"/>
  <c r="S45" i="3"/>
  <c r="S41" i="3"/>
  <c r="S40" i="3"/>
  <c r="S38" i="3"/>
  <c r="S37" i="3"/>
  <c r="S36" i="3"/>
  <c r="S35" i="3"/>
  <c r="S33" i="3"/>
  <c r="S28" i="3"/>
  <c r="S24" i="3"/>
  <c r="S23" i="3"/>
  <c r="S22" i="3"/>
  <c r="S21" i="3"/>
  <c r="S16" i="3"/>
  <c r="S15" i="3"/>
  <c r="S14" i="3"/>
  <c r="S10" i="3"/>
  <c r="S9" i="3"/>
  <c r="S8" i="3"/>
  <c r="S7" i="3"/>
  <c r="C7" i="3"/>
  <c r="D7" i="3"/>
  <c r="E7" i="3"/>
  <c r="F7" i="3"/>
  <c r="G7" i="3"/>
  <c r="H7" i="3"/>
  <c r="I7" i="3"/>
  <c r="J7" i="3"/>
  <c r="K7" i="3"/>
  <c r="L7" i="3"/>
  <c r="M7" i="3"/>
  <c r="N7" i="3"/>
  <c r="O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Q10" i="3"/>
  <c r="R10" i="3"/>
  <c r="G11" i="3"/>
  <c r="H11" i="3"/>
  <c r="Q11" i="3"/>
  <c r="R11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P14" i="3" s="1"/>
  <c r="P8" i="3" s="1"/>
  <c r="Q15" i="3"/>
  <c r="R15" i="3"/>
  <c r="E16" i="3"/>
  <c r="F16" i="3"/>
  <c r="I16" i="3"/>
  <c r="J16" i="3"/>
  <c r="K16" i="3"/>
  <c r="L16" i="3"/>
  <c r="M16" i="3"/>
  <c r="N16" i="3"/>
  <c r="O16" i="3"/>
  <c r="Q16" i="3"/>
  <c r="R16" i="3"/>
  <c r="J17" i="3"/>
  <c r="K17" i="3"/>
  <c r="L17" i="3"/>
  <c r="M17" i="3"/>
  <c r="N17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Q21" i="3"/>
  <c r="R21" i="3"/>
  <c r="G22" i="3"/>
  <c r="H22" i="3"/>
  <c r="I22" i="3"/>
  <c r="J22" i="3"/>
  <c r="K22" i="3"/>
  <c r="L22" i="3"/>
  <c r="M22" i="3"/>
  <c r="N22" i="3"/>
  <c r="H23" i="3"/>
  <c r="I23" i="3"/>
  <c r="J23" i="3"/>
  <c r="K23" i="3"/>
  <c r="L23" i="3"/>
  <c r="M23" i="3"/>
  <c r="H24" i="3"/>
  <c r="I24" i="3"/>
  <c r="K24" i="3"/>
  <c r="H25" i="3"/>
  <c r="H28" i="3"/>
  <c r="I28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P21" i="3" s="1"/>
  <c r="Q33" i="3"/>
  <c r="R33" i="3"/>
  <c r="H34" i="3"/>
  <c r="Q34" i="3"/>
  <c r="R34" i="3"/>
  <c r="H35" i="3"/>
  <c r="I35" i="3"/>
  <c r="J35" i="3"/>
  <c r="K35" i="3"/>
  <c r="L35" i="3"/>
  <c r="M35" i="3"/>
  <c r="N35" i="3"/>
  <c r="R35" i="3"/>
  <c r="G36" i="3"/>
  <c r="H36" i="3"/>
  <c r="I36" i="3"/>
  <c r="J36" i="3"/>
  <c r="K36" i="3"/>
  <c r="L36" i="3"/>
  <c r="R36" i="3"/>
  <c r="J37" i="3"/>
  <c r="K37" i="3"/>
  <c r="L37" i="3"/>
  <c r="M37" i="3"/>
  <c r="R37" i="3"/>
  <c r="J38" i="3"/>
  <c r="K38" i="3"/>
  <c r="L38" i="3"/>
  <c r="M38" i="3"/>
  <c r="N38" i="3"/>
  <c r="O38" i="3"/>
  <c r="P38" i="3"/>
  <c r="Q38" i="3"/>
  <c r="R38" i="3"/>
  <c r="F40" i="3"/>
  <c r="G40" i="3"/>
  <c r="H40" i="3"/>
  <c r="I40" i="3"/>
  <c r="J40" i="3"/>
  <c r="K40" i="3"/>
  <c r="L40" i="3"/>
  <c r="M40" i="3"/>
  <c r="N40" i="3"/>
  <c r="O40" i="3"/>
  <c r="Q40" i="3"/>
  <c r="R40" i="3"/>
  <c r="F41" i="3"/>
  <c r="G41" i="3"/>
  <c r="H41" i="3"/>
  <c r="I41" i="3"/>
  <c r="J41" i="3"/>
  <c r="K41" i="3"/>
  <c r="L41" i="3"/>
  <c r="M41" i="3"/>
  <c r="N41" i="3"/>
  <c r="O41" i="3"/>
  <c r="Q41" i="3"/>
  <c r="R41" i="3"/>
  <c r="R42" i="3"/>
  <c r="R43" i="3"/>
  <c r="K44" i="3"/>
  <c r="L44" i="3"/>
  <c r="R44" i="3"/>
  <c r="G45" i="3"/>
  <c r="H45" i="3"/>
  <c r="I45" i="3"/>
  <c r="J45" i="3"/>
  <c r="K45" i="3"/>
  <c r="M45" i="3"/>
  <c r="N45" i="3"/>
  <c r="O45" i="3"/>
  <c r="Q45" i="3"/>
  <c r="R45" i="3"/>
  <c r="F48" i="3"/>
  <c r="G48" i="3"/>
  <c r="H48" i="3"/>
  <c r="I48" i="3"/>
  <c r="J48" i="3"/>
  <c r="K48" i="3"/>
  <c r="M48" i="3"/>
  <c r="N48" i="3"/>
  <c r="Q48" i="3"/>
  <c r="F49" i="3"/>
  <c r="I49" i="3"/>
  <c r="J49" i="3"/>
  <c r="K49" i="3"/>
  <c r="F51" i="3"/>
  <c r="M51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Q55" i="3"/>
  <c r="R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Q56" i="3"/>
  <c r="R56" i="3"/>
  <c r="I57" i="3"/>
  <c r="J57" i="3"/>
  <c r="K57" i="3"/>
  <c r="L57" i="3"/>
  <c r="M57" i="3"/>
  <c r="Q57" i="3"/>
  <c r="I58" i="3"/>
  <c r="K58" i="3"/>
  <c r="L58" i="3"/>
  <c r="M58" i="3"/>
  <c r="C59" i="3"/>
  <c r="D59" i="3"/>
  <c r="E59" i="3"/>
  <c r="F59" i="3"/>
  <c r="G59" i="3"/>
  <c r="H59" i="3"/>
  <c r="I59" i="3"/>
  <c r="J59" i="3"/>
  <c r="K59" i="3"/>
  <c r="L59" i="3"/>
  <c r="M59" i="3"/>
  <c r="N59" i="3"/>
  <c r="Q59" i="3"/>
  <c r="C60" i="3"/>
  <c r="I60" i="3"/>
  <c r="C61" i="3"/>
  <c r="D61" i="3"/>
  <c r="E61" i="3"/>
  <c r="F61" i="3"/>
  <c r="G61" i="3"/>
  <c r="I61" i="3"/>
  <c r="C62" i="3"/>
  <c r="D62" i="3"/>
  <c r="H62" i="3"/>
  <c r="I62" i="3"/>
  <c r="J62" i="3"/>
  <c r="K62" i="3"/>
  <c r="L62" i="3"/>
  <c r="M62" i="3"/>
  <c r="Q62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Q63" i="3"/>
  <c r="R63" i="3"/>
  <c r="G69" i="3"/>
  <c r="N69" i="3"/>
  <c r="C70" i="3"/>
  <c r="D70" i="3"/>
  <c r="E70" i="3"/>
  <c r="G70" i="3"/>
  <c r="H70" i="3"/>
  <c r="I70" i="3"/>
  <c r="J70" i="3"/>
  <c r="K70" i="3"/>
  <c r="L70" i="3"/>
  <c r="M70" i="3"/>
  <c r="G71" i="3"/>
  <c r="I71" i="3"/>
  <c r="L71" i="3"/>
  <c r="N71" i="3"/>
  <c r="F72" i="3"/>
  <c r="G72" i="3"/>
  <c r="H72" i="3"/>
  <c r="I72" i="3"/>
  <c r="J72" i="3"/>
  <c r="K72" i="3"/>
  <c r="L72" i="3"/>
  <c r="M72" i="3"/>
  <c r="N72" i="3"/>
  <c r="O72" i="3"/>
  <c r="Q72" i="3"/>
  <c r="R72" i="3"/>
  <c r="H73" i="3"/>
  <c r="I73" i="3"/>
  <c r="J73" i="3"/>
  <c r="K73" i="3"/>
  <c r="L73" i="3"/>
  <c r="M73" i="3"/>
  <c r="N73" i="3"/>
  <c r="C74" i="3"/>
  <c r="D74" i="3"/>
  <c r="E74" i="3"/>
  <c r="H74" i="3"/>
  <c r="I74" i="3"/>
  <c r="J74" i="3"/>
  <c r="K74" i="3"/>
  <c r="L74" i="3"/>
  <c r="M74" i="3"/>
  <c r="N74" i="3"/>
  <c r="Q74" i="3"/>
  <c r="C75" i="3"/>
  <c r="D75" i="3"/>
  <c r="H75" i="3"/>
  <c r="I75" i="3"/>
  <c r="J75" i="3"/>
  <c r="K75" i="3"/>
  <c r="L75" i="3"/>
  <c r="M75" i="3"/>
  <c r="Q75" i="3"/>
  <c r="C76" i="3"/>
  <c r="D76" i="3"/>
  <c r="I76" i="3"/>
  <c r="K76" i="3"/>
  <c r="C77" i="3"/>
  <c r="D77" i="3"/>
  <c r="K77" i="3"/>
  <c r="C78" i="3"/>
  <c r="D78" i="3"/>
  <c r="E78" i="3"/>
  <c r="G78" i="3"/>
  <c r="H78" i="3"/>
  <c r="I78" i="3"/>
  <c r="J78" i="3"/>
  <c r="K78" i="3"/>
  <c r="M78" i="3"/>
  <c r="R78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Q80" i="3"/>
  <c r="R80" i="3"/>
  <c r="H81" i="3"/>
  <c r="I81" i="3"/>
  <c r="J81" i="3"/>
  <c r="K81" i="3"/>
  <c r="L81" i="3"/>
  <c r="M81" i="3"/>
  <c r="N81" i="3"/>
  <c r="Q81" i="3"/>
  <c r="R81" i="3"/>
  <c r="I82" i="3"/>
  <c r="R82" i="3"/>
  <c r="H83" i="3"/>
  <c r="I83" i="3"/>
  <c r="J83" i="3"/>
  <c r="K83" i="3"/>
  <c r="L83" i="3"/>
  <c r="M83" i="3"/>
  <c r="N83" i="3"/>
  <c r="O83" i="3"/>
  <c r="Q83" i="3"/>
  <c r="R83" i="3"/>
  <c r="G84" i="3"/>
  <c r="H84" i="3"/>
  <c r="J84" i="3"/>
  <c r="K84" i="3"/>
  <c r="L84" i="3"/>
  <c r="M84" i="3"/>
  <c r="N84" i="3"/>
  <c r="O84" i="3"/>
  <c r="Q84" i="3"/>
  <c r="G85" i="3"/>
  <c r="H85" i="3"/>
  <c r="J85" i="3"/>
  <c r="K85" i="3"/>
  <c r="L85" i="3"/>
  <c r="M85" i="3"/>
  <c r="N85" i="3"/>
  <c r="O85" i="3"/>
  <c r="Q85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Q87" i="3"/>
  <c r="R87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Q88" i="3"/>
  <c r="R88" i="3"/>
  <c r="M89" i="3"/>
  <c r="C95" i="3"/>
  <c r="D95" i="3"/>
  <c r="E95" i="3"/>
  <c r="F95" i="3"/>
  <c r="G95" i="3"/>
  <c r="H95" i="3"/>
  <c r="I95" i="3"/>
  <c r="I97" i="3"/>
  <c r="J95" i="3"/>
  <c r="K95" i="3"/>
  <c r="K97" i="3" s="1"/>
  <c r="L95" i="3"/>
  <c r="M95" i="3"/>
  <c r="N95" i="3"/>
  <c r="O95" i="3"/>
  <c r="Q95" i="3"/>
  <c r="R95" i="3"/>
  <c r="C96" i="3"/>
  <c r="D96" i="3"/>
  <c r="E96" i="3"/>
  <c r="F96" i="3"/>
  <c r="G96" i="3"/>
  <c r="H96" i="3"/>
  <c r="I96" i="3"/>
  <c r="J96" i="3"/>
  <c r="J97" i="3" s="1"/>
  <c r="K96" i="3"/>
  <c r="L96" i="3"/>
  <c r="M96" i="3"/>
  <c r="M97" i="3"/>
  <c r="N96" i="3"/>
  <c r="N97" i="3" s="1"/>
  <c r="O96" i="3"/>
  <c r="Q96" i="3"/>
  <c r="R96" i="3"/>
  <c r="C97" i="3"/>
  <c r="H97" i="3"/>
  <c r="O97" i="3"/>
  <c r="Q97" i="3"/>
  <c r="R97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Q99" i="3"/>
  <c r="R99" i="3"/>
  <c r="I100" i="3"/>
  <c r="J100" i="3"/>
  <c r="K100" i="3"/>
  <c r="L100" i="3"/>
  <c r="M100" i="3"/>
  <c r="I101" i="3"/>
  <c r="I102" i="3"/>
  <c r="J102" i="3"/>
  <c r="K102" i="3"/>
  <c r="L102" i="3"/>
  <c r="M102" i="3"/>
  <c r="D104" i="3"/>
  <c r="G104" i="3"/>
  <c r="H104" i="3"/>
  <c r="I104" i="3"/>
  <c r="J104" i="3"/>
  <c r="K104" i="3"/>
  <c r="L104" i="3"/>
  <c r="M104" i="3"/>
  <c r="R104" i="3"/>
  <c r="E105" i="3"/>
  <c r="F105" i="3"/>
  <c r="I105" i="3"/>
  <c r="J105" i="3"/>
  <c r="K105" i="3"/>
  <c r="L105" i="3"/>
  <c r="M105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Q107" i="3"/>
  <c r="R107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Q109" i="3"/>
  <c r="R109" i="3"/>
  <c r="I110" i="3"/>
  <c r="I111" i="3"/>
  <c r="C112" i="3"/>
  <c r="D112" i="3"/>
  <c r="I112" i="3"/>
  <c r="I113" i="3"/>
  <c r="D114" i="3"/>
  <c r="G114" i="3"/>
  <c r="I114" i="3"/>
  <c r="I115" i="3"/>
  <c r="J115" i="3"/>
  <c r="K115" i="3"/>
  <c r="L115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Q116" i="3"/>
  <c r="R116" i="3"/>
  <c r="C117" i="3"/>
  <c r="D117" i="3"/>
  <c r="F117" i="3"/>
  <c r="G117" i="3"/>
  <c r="H117" i="3"/>
  <c r="I117" i="3"/>
  <c r="J117" i="3"/>
  <c r="K117" i="3"/>
  <c r="L117" i="3"/>
  <c r="M117" i="3"/>
  <c r="N117" i="3"/>
  <c r="O117" i="3"/>
  <c r="R117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R119" i="3"/>
  <c r="I121" i="3"/>
  <c r="C122" i="3"/>
  <c r="D122" i="3"/>
  <c r="E122" i="3"/>
  <c r="F122" i="3"/>
  <c r="G122" i="3"/>
  <c r="H122" i="3"/>
  <c r="I122" i="3"/>
  <c r="J122" i="3"/>
  <c r="K122" i="3"/>
  <c r="L122" i="3"/>
  <c r="M122" i="3"/>
  <c r="D124" i="3"/>
  <c r="G124" i="3"/>
  <c r="I124" i="3"/>
  <c r="K124" i="3"/>
  <c r="M124" i="3"/>
  <c r="R124" i="3"/>
  <c r="I125" i="3"/>
  <c r="M125" i="3"/>
  <c r="N125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Q126" i="3"/>
  <c r="R126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Q127" i="3"/>
  <c r="R127" i="3"/>
  <c r="C129" i="3"/>
  <c r="D129" i="3"/>
  <c r="E129" i="3"/>
  <c r="F129" i="3"/>
  <c r="G129" i="3"/>
  <c r="G138" i="3" s="1"/>
  <c r="G140" i="3" s="1"/>
  <c r="H129" i="3"/>
  <c r="I129" i="3"/>
  <c r="J129" i="3"/>
  <c r="K129" i="3"/>
  <c r="L129" i="3"/>
  <c r="M129" i="3"/>
  <c r="N129" i="3"/>
  <c r="O129" i="3"/>
  <c r="Q129" i="3"/>
  <c r="R129" i="3"/>
  <c r="C130" i="3"/>
  <c r="D130" i="3"/>
  <c r="F130" i="3"/>
  <c r="G130" i="3"/>
  <c r="H130" i="3"/>
  <c r="I130" i="3"/>
  <c r="J130" i="3"/>
  <c r="K130" i="3"/>
  <c r="L130" i="3"/>
  <c r="M130" i="3"/>
  <c r="I131" i="3"/>
  <c r="J131" i="3"/>
  <c r="K131" i="3"/>
  <c r="L131" i="3"/>
  <c r="O131" i="3"/>
  <c r="Q131" i="3"/>
  <c r="R131" i="3"/>
  <c r="H132" i="3"/>
  <c r="I132" i="3"/>
  <c r="J132" i="3"/>
  <c r="K132" i="3"/>
  <c r="L132" i="3"/>
  <c r="M132" i="3"/>
  <c r="N132" i="3"/>
  <c r="O132" i="3"/>
  <c r="Q132" i="3"/>
  <c r="R132" i="3"/>
  <c r="H133" i="3"/>
  <c r="J133" i="3"/>
  <c r="K133" i="3"/>
  <c r="L133" i="3"/>
  <c r="M133" i="3"/>
  <c r="N133" i="3"/>
  <c r="O133" i="3"/>
  <c r="Q133" i="3"/>
  <c r="R133" i="3"/>
  <c r="H134" i="3"/>
  <c r="J134" i="3"/>
  <c r="K134" i="3"/>
  <c r="L134" i="3"/>
  <c r="M134" i="3"/>
  <c r="N134" i="3"/>
  <c r="O134" i="3"/>
  <c r="Q134" i="3"/>
  <c r="R134" i="3"/>
  <c r="I136" i="3"/>
  <c r="J136" i="3"/>
  <c r="L136" i="3"/>
  <c r="O136" i="3"/>
  <c r="R136" i="3"/>
  <c r="C137" i="3"/>
  <c r="D137" i="3"/>
  <c r="E137" i="3"/>
  <c r="F137" i="3"/>
  <c r="G137" i="3"/>
  <c r="H137" i="3"/>
  <c r="H138" i="3" s="1"/>
  <c r="H140" i="3" s="1"/>
  <c r="I137" i="3"/>
  <c r="J137" i="3"/>
  <c r="K137" i="3"/>
  <c r="K138" i="3" s="1"/>
  <c r="L137" i="3"/>
  <c r="M137" i="3"/>
  <c r="N137" i="3"/>
  <c r="N138" i="3" s="1"/>
  <c r="O137" i="3"/>
  <c r="Q137" i="3"/>
  <c r="R137" i="3"/>
  <c r="O138" i="3"/>
  <c r="Q138" i="3"/>
  <c r="R138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Q139" i="3"/>
  <c r="R139" i="3"/>
  <c r="P140" i="3"/>
  <c r="D118" i="1" l="1"/>
  <c r="R89" i="3"/>
  <c r="R140" i="3"/>
  <c r="Q140" i="3"/>
  <c r="P89" i="3"/>
  <c r="L89" i="3"/>
  <c r="T138" i="3"/>
  <c r="T140" i="3" s="1"/>
  <c r="U89" i="3"/>
  <c r="U138" i="3"/>
  <c r="U140" i="3" s="1"/>
  <c r="I138" i="3"/>
  <c r="I140" i="3" s="1"/>
  <c r="N140" i="3"/>
  <c r="J138" i="3"/>
  <c r="D137" i="1"/>
  <c r="D139" i="1" s="1"/>
  <c r="E108" i="1"/>
  <c r="F39" i="1"/>
  <c r="C9" i="1"/>
  <c r="C98" i="1"/>
  <c r="D21" i="1"/>
  <c r="E118" i="1"/>
  <c r="F97" i="3"/>
  <c r="F138" i="3" s="1"/>
  <c r="G89" i="3"/>
  <c r="F89" i="3"/>
  <c r="E89" i="3"/>
  <c r="E97" i="3"/>
  <c r="E138" i="3" s="1"/>
  <c r="E140" i="3" s="1"/>
  <c r="J89" i="3"/>
  <c r="C21" i="1"/>
  <c r="O140" i="3"/>
  <c r="C118" i="1"/>
  <c r="J140" i="3"/>
  <c r="F140" i="3"/>
  <c r="L138" i="3"/>
  <c r="L140" i="3" s="1"/>
  <c r="M138" i="3"/>
  <c r="C138" i="3"/>
  <c r="C140" i="3" s="1"/>
  <c r="G97" i="3"/>
  <c r="T89" i="3"/>
  <c r="D80" i="1"/>
  <c r="D55" i="1" s="1"/>
  <c r="D89" i="1" s="1"/>
  <c r="D98" i="1"/>
  <c r="S89" i="3"/>
  <c r="O89" i="3"/>
  <c r="T68" i="3"/>
  <c r="E56" i="1"/>
  <c r="C137" i="1"/>
  <c r="C139" i="1" s="1"/>
  <c r="F80" i="1"/>
  <c r="F98" i="1"/>
  <c r="F118" i="1"/>
  <c r="F128" i="1"/>
  <c r="C128" i="1"/>
  <c r="C80" i="1"/>
  <c r="C55" i="1" s="1"/>
  <c r="C89" i="1" s="1"/>
  <c r="D14" i="1"/>
  <c r="E137" i="1"/>
  <c r="E139" i="1" s="1"/>
  <c r="E128" i="1"/>
  <c r="D9" i="1"/>
  <c r="F137" i="1"/>
  <c r="F139" i="1" s="1"/>
  <c r="E14" i="1"/>
  <c r="E80" i="1"/>
  <c r="F14" i="1"/>
  <c r="F108" i="1"/>
  <c r="D128" i="1"/>
  <c r="E46" i="1"/>
  <c r="F9" i="1"/>
  <c r="F46" i="1"/>
  <c r="M140" i="3"/>
  <c r="K89" i="3"/>
  <c r="C89" i="3"/>
  <c r="S138" i="3"/>
  <c r="S140" i="3" s="1"/>
  <c r="E98" i="1"/>
  <c r="I89" i="3"/>
  <c r="Q89" i="3"/>
  <c r="N89" i="3"/>
  <c r="D89" i="3"/>
  <c r="E31" i="1"/>
  <c r="E21" i="1" s="1"/>
  <c r="F31" i="1"/>
  <c r="D97" i="3"/>
  <c r="D138" i="3" s="1"/>
  <c r="D140" i="3" s="1"/>
  <c r="H89" i="3"/>
  <c r="K140" i="3"/>
  <c r="L97" i="3"/>
  <c r="F22" i="1"/>
  <c r="F56" i="1"/>
  <c r="F55" i="1" s="1"/>
  <c r="E55" i="1" l="1"/>
  <c r="E89" i="1" s="1"/>
  <c r="F21" i="1"/>
  <c r="F89" i="1" s="1"/>
  <c r="S80" i="1"/>
  <c r="S74" i="1" s="1"/>
  <c r="S68" i="1" s="1"/>
  <c r="S64" i="1" s="1"/>
  <c r="S63" i="1" s="1"/>
  <c r="S59" i="1" s="1"/>
  <c r="S56" i="1" s="1"/>
  <c r="S55" i="1" s="1"/>
  <c r="S89" i="1" s="1"/>
</calcChain>
</file>

<file path=xl/sharedStrings.xml><?xml version="1.0" encoding="utf-8"?>
<sst xmlns="http://schemas.openxmlformats.org/spreadsheetml/2006/main" count="431" uniqueCount="117">
  <si>
    <t>TOTAL ASSETS</t>
  </si>
  <si>
    <t xml:space="preserve">TOTAL RESIDENT DEPOSITS  </t>
  </si>
  <si>
    <t>TOTAL NON-RESIDENT DEPOSITS</t>
  </si>
  <si>
    <t>Central Government</t>
  </si>
  <si>
    <t>Other Sectors (Households &amp; NPI's)</t>
  </si>
  <si>
    <t>SHAREHOLDERS EQUITY</t>
  </si>
  <si>
    <t>OTHER LIABILITIES</t>
  </si>
  <si>
    <t>TOTAL LIABILITIES</t>
  </si>
  <si>
    <t>TRANSFERABLE DEPOSITS (Demand) - RESIDENT</t>
  </si>
  <si>
    <t>SAVINGS DEPOSITS  - RESIDENT</t>
  </si>
  <si>
    <t>FIXED DEPOSITS - RESIDENT</t>
  </si>
  <si>
    <t>TOTAL DEPOSITS</t>
  </si>
  <si>
    <t>Central Bank, Monetary Authority, Currency Board (CIMA)</t>
  </si>
  <si>
    <t>Public Financial &amp; Nonfinancial Corporations (Public Entities)</t>
  </si>
  <si>
    <t>Public Financial &amp; Nonfinancial Corps.(SA's &amp; GOC's)</t>
  </si>
  <si>
    <t>TOTAL LIABILITIES &amp; SHAREHOLDERS EQUITY</t>
  </si>
  <si>
    <t>LOANS &amp; ADVANCES - RESIDENT &amp; NON-RESIDENT</t>
  </si>
  <si>
    <t>Non-Financial Corps. (Commercial Private Sector)</t>
  </si>
  <si>
    <t>Non-Financial Corporations (Commercial Private Sector)</t>
  </si>
  <si>
    <t>Non-Financial Corporations (Commerical Private Sector)</t>
  </si>
  <si>
    <t>Group Bank - Parent, Head Office, Branch, Subsidiary or Affiliate</t>
  </si>
  <si>
    <t>Public Financial &amp; Non-Financial Corporations (SA's &amp; GOC's &amp; Gov. NPI's)</t>
  </si>
  <si>
    <t>n/a</t>
  </si>
  <si>
    <t>LIABILITIES</t>
  </si>
  <si>
    <t>Unconsolidated - Does not include the operations of other entities that operate under these banks outside the Cayman Islands.</t>
  </si>
  <si>
    <t>Other Depository Corporations (Class 'A' Banks - Retail &amp; Non-Retail)</t>
  </si>
  <si>
    <t>ASSETS</t>
  </si>
  <si>
    <t xml:space="preserve">    o/w Production, Manufacturing &amp; Construction</t>
  </si>
  <si>
    <t xml:space="preserve">    o/w Services (tourist accomodation, transportation, communication &amp; other services)</t>
  </si>
  <si>
    <t xml:space="preserve">    o/w Domestic Property</t>
  </si>
  <si>
    <t xml:space="preserve">    o/w Motor Vehicles</t>
  </si>
  <si>
    <t xml:space="preserve">    o/w Education</t>
  </si>
  <si>
    <t xml:space="preserve">    o/w Miscellaneous </t>
  </si>
  <si>
    <t>Other Depository Corporations (Class 'A' Banks- Retail &amp; Non-Retail)</t>
  </si>
  <si>
    <t>CASH ITEMS</t>
  </si>
  <si>
    <t>DEPOSIT BALANCES &amp; CD'S  - RESIDENT&amp; NON-RESIDENT</t>
  </si>
  <si>
    <t>RESIDENT</t>
  </si>
  <si>
    <t xml:space="preserve">Other Depository Corps. ('A' Banks - Retail &amp; Non-Retail) </t>
  </si>
  <si>
    <t>NON-RESIDENT</t>
  </si>
  <si>
    <t>OTHER DEPOSITS - NON-RESIDENT</t>
  </si>
  <si>
    <t xml:space="preserve">PREMISES, FIXED ASSETS &amp; GOODWILL </t>
  </si>
  <si>
    <t>ASSETS - CATEGORY 'A' - RETAIL &amp; NON-RETAIL BANKS (in USD 000's) - UNCONSOLIDATED (CAYMAN OPERATIONS ONLY)</t>
  </si>
  <si>
    <t>LIABILITIES - CATEGORY 'A'  - RETAIL &amp; NON-RETAIL BANKS (in USD 000's) - UNCONSOLIDATED (CAYMAN OPERATIONS ONLY)</t>
  </si>
  <si>
    <t>OTHER INVESTMENTS  - RESIDENT &amp; NON-RESIDENT</t>
  </si>
  <si>
    <t>Other Depository Corps. ('B' Banks )</t>
  </si>
  <si>
    <t xml:space="preserve">Other Financial Corps. ('A' Banks - Retail &amp; Non-Retail) </t>
  </si>
  <si>
    <t>Other Depository Corporations (Class 'B' Banks)</t>
  </si>
  <si>
    <t>Other Banks</t>
  </si>
  <si>
    <t>DEBT &amp; EQUITY SECURITIES - RESIDENT &amp; NON-RESIDENT</t>
  </si>
  <si>
    <t xml:space="preserve">Other Depository Corps. ('B' Banks ) </t>
  </si>
  <si>
    <t>Depository Corporations</t>
  </si>
  <si>
    <t xml:space="preserve">    o/w Central Banks, Monetary Authority (CIMA)</t>
  </si>
  <si>
    <t xml:space="preserve">    o/w Other Depository Corps. ('A' Banks - Retail &amp; Non-Retail) </t>
  </si>
  <si>
    <t xml:space="preserve">    o/w Other Depository Corps. ('B' Banks) </t>
  </si>
  <si>
    <t xml:space="preserve">    o/w Insurance Companies and Pension Funds</t>
  </si>
  <si>
    <t xml:space="preserve">    o/w Trusts &amp; Mutual Funds</t>
  </si>
  <si>
    <t xml:space="preserve">    o/w Securities Dealers, Brokers &amp; Agents</t>
  </si>
  <si>
    <t xml:space="preserve">    o/w Other Financial Intermediaries &amp; Auxiliaries)</t>
  </si>
  <si>
    <t>REPO'S, TERM DEBT &amp; OTHER BORROWINGS</t>
  </si>
  <si>
    <t>Financial Corporations (Depository &amp; Other Financial Corporations)</t>
  </si>
  <si>
    <t xml:space="preserve"> </t>
  </si>
  <si>
    <t xml:space="preserve">    o/w Trade &amp; Commerce (wholesale/retail trade; real estate, property mgt &amp; related act.)</t>
  </si>
  <si>
    <t xml:space="preserve">  o/w Group Affiliated Entities (Resident) - Corporations, Funds, Insurance, Trusts, etc.)</t>
  </si>
  <si>
    <t>2014Q1</t>
  </si>
  <si>
    <t>Other Financial Corps. ( Financial Intermediaries, Auxiliaries &amp; Non-Bank Financial Inst's.)</t>
  </si>
  <si>
    <t>Year 2014Q1 - DBA was revised to capture data on Non-Resident: Non-Financial Corps - Commercial Private Sector, Governments, Households &amp; Non-Profit Associations</t>
  </si>
  <si>
    <t>2014Q2</t>
  </si>
  <si>
    <t>2014Q3</t>
  </si>
  <si>
    <t>2014Q4</t>
  </si>
  <si>
    <t>n/a - The design of the DBA Survey Form did not capture this breakdown for those periods.</t>
  </si>
  <si>
    <t>In Year 2011 Q3 a Category 'A' retail bank restructured its operations between retail and non-retail.</t>
  </si>
  <si>
    <t>2015Q1</t>
  </si>
  <si>
    <t>InYear 2015Q1, a Cateogry A retail bank and a Category A non-retail bank changed its license to a Category B bank.</t>
  </si>
  <si>
    <t>2015Q2</t>
  </si>
  <si>
    <t>2015Q3</t>
  </si>
  <si>
    <t>2015Q4</t>
  </si>
  <si>
    <t>In Year 2015Q3, CIMA advised a Category A bank to include non-resident transactions (primarily loans and deposits) that was previosuly not considered 'cayman banking operations' on the DBA.</t>
  </si>
  <si>
    <t xml:space="preserve">In Year 2015Q4, CIMA advised a Category A bank, who has entities outside of the Cayman Islands but under the Cayman Islands licence, to report the non-resident transactions (primarily loans and deposits) associated with these entities on the DBA. </t>
  </si>
  <si>
    <t>2016Q1</t>
  </si>
  <si>
    <t>Updated June 2016 for period ending March 2016.</t>
  </si>
  <si>
    <t>OTHER ASSETS (including interest, cheques under collection,)</t>
  </si>
  <si>
    <t>Non-Financial Corporations - Commercial Private Sector</t>
  </si>
  <si>
    <t xml:space="preserve"> Non-Financial Corporations - Commercial Private Sector</t>
  </si>
  <si>
    <t>Other Financial Corps. ( Financial Intermediaries &amp; Non-Bank Financial Inst's.)</t>
  </si>
  <si>
    <t>Other Sectors - Government, Households &amp; Non-Profit Associations</t>
  </si>
  <si>
    <t xml:space="preserve">NOTES &amp; COINS IN HAND </t>
  </si>
  <si>
    <t>Others (Non-Financial Corporations, Households &amp; Non-Profits)</t>
  </si>
  <si>
    <t>Other Sectors - Households &amp; Non-Profit Associations</t>
  </si>
  <si>
    <t>Other Sectors (Households &amp; Non-Profit Associations)</t>
  </si>
  <si>
    <t>Other Sectors - Governments &amp; Households</t>
  </si>
  <si>
    <t>Others (Households &amp; Non-Profits)</t>
  </si>
  <si>
    <t>Other Sectors - Government &amp; Households</t>
  </si>
  <si>
    <t xml:space="preserve">Other Financial Corps. (Financial Intermediaries, Auxiliaries &amp; Non-Bank Financial Inst's.) </t>
  </si>
  <si>
    <t xml:space="preserve">    o/w Trade &amp; Commerce (wholesale/retail trade; real estate, property mgt. &amp; related act.)</t>
  </si>
  <si>
    <r>
      <t xml:space="preserve">OTHER ASSETS </t>
    </r>
    <r>
      <rPr>
        <b/>
        <i/>
        <sz val="8"/>
        <rFont val="Verdana"/>
        <family val="2"/>
      </rPr>
      <t>(including interest, cheques under collection,)</t>
    </r>
  </si>
  <si>
    <t>2018Q1</t>
  </si>
  <si>
    <t>2018Q2</t>
  </si>
  <si>
    <t>2018Q3</t>
  </si>
  <si>
    <t>2018Q4</t>
  </si>
  <si>
    <t>2019Q1</t>
  </si>
  <si>
    <t xml:space="preserve">                                                                                                      ASSETS - CATEGORY 'A' - RETAIL &amp; NON-RETAIL BANKS (in USD 000's) - UNCONSOLIDATED </t>
  </si>
  <si>
    <t xml:space="preserve">                                                                                                                LIABILITIES - CATEGORY 'A'  - RETAIL &amp; NON-RETAIL BANKS (in USD 000's) - UNCONSOLIDATED</t>
  </si>
  <si>
    <t xml:space="preserve">    o/w Group Affiliated Entities (Resident) - Corporations, Funds, Insurance, Trusts, etc.)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</si>
  <si>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</si>
  <si>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</si>
  <si>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</si>
  <si>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</si>
  <si>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</si>
  <si>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</si>
  <si>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</si>
  <si>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</si>
  <si>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</si>
  <si>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</si>
  <si>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</si>
  <si>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</si>
  <si>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</si>
  <si>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Updated October 2022 for period ending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</si>
</sst>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9"/>
      <name val="Verdana"/>
      <family val="2"/>
    </font>
    <font>
      <b/>
      <sz val="9"/>
      <color indexed="9"/>
      <name val="Verdana"/>
      <family val="2"/>
    </font>
    <font>
      <u val="double"/>
      <sz val="12"/>
      <name val="Verdana"/>
      <family val="2"/>
    </font>
    <font>
      <b/>
      <sz val="9"/>
      <color indexed="8"/>
      <name val="Verdana"/>
      <family val="2"/>
    </font>
    <font>
      <b/>
      <u/>
      <sz val="10"/>
      <name val="Verdana"/>
      <family val="2"/>
    </font>
    <font>
      <b/>
      <sz val="9"/>
      <name val="Verdana"/>
      <family val="2"/>
    </font>
    <font>
      <b/>
      <u/>
      <sz val="9"/>
      <color indexed="63"/>
      <name val="Verdana"/>
      <family val="2"/>
    </font>
    <font>
      <sz val="8"/>
      <color indexed="63"/>
      <name val="Verdana"/>
      <family val="2"/>
    </font>
    <font>
      <i/>
      <sz val="8"/>
      <color indexed="63"/>
      <name val="Verdana"/>
      <family val="2"/>
    </font>
    <font>
      <b/>
      <i/>
      <sz val="8"/>
      <color indexed="63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indexed="63"/>
      <name val="Verdana"/>
      <family val="2"/>
    </font>
    <font>
      <i/>
      <sz val="9"/>
      <name val="Verdana"/>
      <family val="2"/>
    </font>
    <font>
      <i/>
      <sz val="9"/>
      <color indexed="8"/>
      <name val="Verdana"/>
      <family val="2"/>
    </font>
    <font>
      <sz val="8"/>
      <color indexed="10"/>
      <name val="Verdana"/>
      <family val="2"/>
    </font>
    <font>
      <b/>
      <i/>
      <sz val="8"/>
      <name val="Verdana"/>
      <family val="2"/>
    </font>
    <font>
      <i/>
      <sz val="8"/>
      <color indexed="10"/>
      <name val="Verdana"/>
      <family val="2"/>
    </font>
    <font>
      <b/>
      <u/>
      <sz val="8"/>
      <color indexed="63"/>
      <name val="Verdana"/>
      <family val="2"/>
    </font>
    <font>
      <b/>
      <u val="double"/>
      <sz val="10"/>
      <name val="Verdana"/>
      <family val="2"/>
    </font>
    <font>
      <sz val="10"/>
      <name val="Verdana"/>
      <family val="2"/>
    </font>
    <font>
      <b/>
      <u/>
      <sz val="8"/>
      <name val="Verdana"/>
      <family val="2"/>
    </font>
    <font>
      <b/>
      <sz val="9"/>
      <color indexed="63"/>
      <name val="Verdana"/>
      <family val="2"/>
    </font>
    <font>
      <sz val="9"/>
      <color indexed="63"/>
      <name val="Verdana"/>
      <family val="2"/>
    </font>
    <font>
      <i/>
      <sz val="9"/>
      <color indexed="63"/>
      <name val="Verdana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u val="double"/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16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6" applyFont="1"/>
    <xf numFmtId="0" fontId="32" fillId="0" borderId="0" xfId="0" applyFont="1" applyAlignment="1">
      <alignment horizontal="right"/>
    </xf>
    <xf numFmtId="0" fontId="12" fillId="0" borderId="0" xfId="0" applyFont="1"/>
    <xf numFmtId="164" fontId="12" fillId="0" borderId="0" xfId="1" applyNumberFormat="1" applyFont="1" applyFill="1" applyAlignment="1">
      <alignment horizontal="right"/>
    </xf>
    <xf numFmtId="0" fontId="12" fillId="0" borderId="0" xfId="5" applyFont="1"/>
    <xf numFmtId="0" fontId="13" fillId="0" borderId="0" xfId="0" applyFont="1"/>
    <xf numFmtId="164" fontId="6" fillId="0" borderId="0" xfId="1" applyNumberFormat="1" applyFont="1" applyFill="1" applyAlignment="1">
      <alignment horizontal="right"/>
    </xf>
    <xf numFmtId="0" fontId="14" fillId="0" borderId="0" xfId="0" applyFont="1"/>
    <xf numFmtId="37" fontId="6" fillId="0" borderId="0" xfId="2" applyNumberFormat="1" applyFont="1" applyFill="1" applyAlignment="1">
      <alignment horizontal="right"/>
    </xf>
    <xf numFmtId="0" fontId="15" fillId="0" borderId="0" xfId="0" applyFont="1"/>
    <xf numFmtId="164" fontId="6" fillId="0" borderId="0" xfId="2" applyNumberFormat="1" applyFont="1" applyFill="1" applyAlignment="1">
      <alignment horizontal="right"/>
    </xf>
    <xf numFmtId="0" fontId="14" fillId="0" borderId="0" xfId="5" applyFont="1"/>
    <xf numFmtId="0" fontId="6" fillId="0" borderId="0" xfId="0" applyFont="1"/>
    <xf numFmtId="0" fontId="16" fillId="0" borderId="0" xfId="0" applyFont="1"/>
    <xf numFmtId="3" fontId="12" fillId="0" borderId="0" xfId="0" applyNumberFormat="1" applyFont="1"/>
    <xf numFmtId="0" fontId="17" fillId="0" borderId="0" xfId="0" applyFont="1"/>
    <xf numFmtId="0" fontId="18" fillId="0" borderId="0" xfId="0" applyFont="1"/>
    <xf numFmtId="1" fontId="6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center"/>
    </xf>
    <xf numFmtId="164" fontId="6" fillId="0" borderId="0" xfId="1" applyNumberFormat="1" applyFont="1" applyFill="1"/>
    <xf numFmtId="164" fontId="5" fillId="0" borderId="0" xfId="1" applyNumberFormat="1" applyFont="1" applyFill="1"/>
    <xf numFmtId="0" fontId="19" fillId="0" borderId="0" xfId="0" applyFont="1"/>
    <xf numFmtId="0" fontId="20" fillId="0" borderId="0" xfId="0" applyFont="1"/>
    <xf numFmtId="0" fontId="14" fillId="3" borderId="0" xfId="0" applyFont="1" applyFill="1"/>
    <xf numFmtId="0" fontId="21" fillId="0" borderId="0" xfId="0" applyFont="1" applyAlignment="1">
      <alignment horizontal="center"/>
    </xf>
    <xf numFmtId="0" fontId="18" fillId="4" borderId="0" xfId="0" applyFont="1" applyFill="1"/>
    <xf numFmtId="3" fontId="20" fillId="4" borderId="0" xfId="0" applyNumberFormat="1" applyFont="1" applyFill="1"/>
    <xf numFmtId="3" fontId="6" fillId="0" borderId="0" xfId="0" applyNumberFormat="1" applyFont="1"/>
    <xf numFmtId="0" fontId="22" fillId="0" borderId="0" xfId="0" applyFont="1"/>
    <xf numFmtId="0" fontId="23" fillId="0" borderId="0" xfId="0" applyFont="1"/>
    <xf numFmtId="37" fontId="20" fillId="4" borderId="0" xfId="1" applyNumberFormat="1" applyFont="1" applyFill="1"/>
    <xf numFmtId="0" fontId="20" fillId="4" borderId="0" xfId="0" applyFont="1" applyFill="1" applyAlignment="1">
      <alignment horizontal="right"/>
    </xf>
    <xf numFmtId="0" fontId="24" fillId="0" borderId="0" xfId="0" applyFont="1"/>
    <xf numFmtId="0" fontId="15" fillId="4" borderId="0" xfId="0" applyFont="1" applyFill="1"/>
    <xf numFmtId="0" fontId="25" fillId="0" borderId="0" xfId="0" applyFont="1"/>
    <xf numFmtId="164" fontId="4" fillId="0" borderId="0" xfId="1" applyNumberFormat="1" applyFont="1" applyAlignment="1">
      <alignment horizontal="center"/>
    </xf>
    <xf numFmtId="164" fontId="5" fillId="0" borderId="0" xfId="1" applyNumberFormat="1" applyFont="1"/>
    <xf numFmtId="0" fontId="26" fillId="0" borderId="0" xfId="0" applyFont="1"/>
    <xf numFmtId="0" fontId="10" fillId="0" borderId="0" xfId="0" applyFont="1"/>
    <xf numFmtId="3" fontId="10" fillId="0" borderId="0" xfId="0" applyNumberFormat="1" applyFont="1"/>
    <xf numFmtId="0" fontId="20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27" fillId="0" borderId="0" xfId="0" applyFont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0" borderId="0" xfId="0" applyFont="1" applyAlignment="1">
      <alignment horizontal="right"/>
    </xf>
    <xf numFmtId="0" fontId="9" fillId="3" borderId="0" xfId="0" applyFont="1" applyFill="1"/>
    <xf numFmtId="0" fontId="11" fillId="3" borderId="0" xfId="6" applyFont="1" applyFill="1"/>
    <xf numFmtId="164" fontId="17" fillId="3" borderId="0" xfId="1" applyNumberFormat="1" applyFont="1" applyFill="1" applyBorder="1" applyAlignment="1">
      <alignment horizontal="right"/>
    </xf>
    <xf numFmtId="0" fontId="17" fillId="3" borderId="0" xfId="6" applyFont="1" applyFill="1" applyAlignment="1">
      <alignment horizontal="right"/>
    </xf>
    <xf numFmtId="0" fontId="28" fillId="3" borderId="0" xfId="6" applyFont="1" applyFill="1" applyAlignment="1">
      <alignment horizontal="right"/>
    </xf>
    <xf numFmtId="0" fontId="33" fillId="3" borderId="0" xfId="0" applyFont="1" applyFill="1" applyAlignment="1">
      <alignment horizontal="right"/>
    </xf>
    <xf numFmtId="0" fontId="33" fillId="0" borderId="0" xfId="0" applyFont="1" applyAlignment="1">
      <alignment horizontal="right"/>
    </xf>
    <xf numFmtId="0" fontId="12" fillId="3" borderId="0" xfId="0" applyFont="1" applyFill="1"/>
    <xf numFmtId="164" fontId="12" fillId="3" borderId="0" xfId="1" applyNumberFormat="1" applyFont="1" applyFill="1" applyBorder="1" applyAlignment="1">
      <alignment horizontal="right"/>
    </xf>
    <xf numFmtId="3" fontId="12" fillId="3" borderId="0" xfId="0" applyNumberFormat="1" applyFont="1" applyFill="1" applyAlignment="1">
      <alignment horizontal="right"/>
    </xf>
    <xf numFmtId="164" fontId="12" fillId="3" borderId="0" xfId="1" applyNumberFormat="1" applyFont="1" applyFill="1" applyAlignment="1">
      <alignment horizontal="right"/>
    </xf>
    <xf numFmtId="164" fontId="17" fillId="3" borderId="0" xfId="1" applyNumberFormat="1" applyFont="1" applyFill="1" applyAlignment="1">
      <alignment horizontal="right"/>
    </xf>
    <xf numFmtId="0" fontId="12" fillId="3" borderId="0" xfId="5" applyFont="1" applyFill="1"/>
    <xf numFmtId="0" fontId="13" fillId="3" borderId="0" xfId="0" applyFont="1" applyFill="1"/>
    <xf numFmtId="164" fontId="29" fillId="3" borderId="0" xfId="1" applyNumberFormat="1" applyFont="1" applyFill="1" applyAlignment="1">
      <alignment horizontal="right"/>
    </xf>
    <xf numFmtId="0" fontId="5" fillId="3" borderId="0" xfId="0" applyFont="1" applyFill="1" applyAlignment="1">
      <alignment horizontal="left"/>
    </xf>
    <xf numFmtId="164" fontId="30" fillId="3" borderId="0" xfId="1" applyNumberFormat="1" applyFont="1" applyFill="1" applyAlignment="1">
      <alignment horizontal="right"/>
    </xf>
    <xf numFmtId="164" fontId="6" fillId="3" borderId="0" xfId="1" applyNumberFormat="1" applyFont="1" applyFill="1" applyAlignment="1">
      <alignment horizontal="right"/>
    </xf>
    <xf numFmtId="164" fontId="5" fillId="3" borderId="0" xfId="1" applyNumberFormat="1" applyFont="1" applyFill="1" applyAlignment="1">
      <alignment horizontal="right"/>
    </xf>
    <xf numFmtId="0" fontId="30" fillId="3" borderId="0" xfId="0" applyFont="1" applyFill="1" applyAlignment="1">
      <alignment horizontal="right"/>
    </xf>
    <xf numFmtId="37" fontId="5" fillId="3" borderId="0" xfId="2" applyNumberFormat="1" applyFont="1" applyFill="1" applyAlignment="1">
      <alignment horizontal="right"/>
    </xf>
    <xf numFmtId="37" fontId="5" fillId="3" borderId="0" xfId="1" applyNumberFormat="1" applyFont="1" applyFill="1"/>
    <xf numFmtId="0" fontId="15" fillId="3" borderId="0" xfId="0" applyFont="1" applyFill="1"/>
    <xf numFmtId="0" fontId="15" fillId="3" borderId="0" xfId="0" applyFont="1" applyFill="1" applyAlignment="1">
      <alignment horizontal="right"/>
    </xf>
    <xf numFmtId="164" fontId="5" fillId="3" borderId="0" xfId="2" applyNumberFormat="1" applyFont="1" applyFill="1" applyAlignment="1">
      <alignment horizontal="right"/>
    </xf>
    <xf numFmtId="0" fontId="14" fillId="3" borderId="0" xfId="5" applyFont="1" applyFill="1"/>
    <xf numFmtId="3" fontId="6" fillId="3" borderId="0" xfId="0" applyNumberFormat="1" applyFont="1" applyFill="1" applyAlignment="1">
      <alignment horizontal="right"/>
    </xf>
    <xf numFmtId="0" fontId="16" fillId="3" borderId="0" xfId="0" applyFont="1" applyFill="1"/>
    <xf numFmtId="0" fontId="18" fillId="3" borderId="0" xfId="0" applyFont="1" applyFill="1" applyAlignment="1">
      <alignment horizontal="right"/>
    </xf>
    <xf numFmtId="0" fontId="10" fillId="3" borderId="0" xfId="0" applyFont="1" applyFill="1" applyAlignment="1">
      <alignment horizontal="center"/>
    </xf>
    <xf numFmtId="3" fontId="17" fillId="3" borderId="0" xfId="0" applyNumberFormat="1" applyFont="1" applyFill="1"/>
    <xf numFmtId="0" fontId="17" fillId="3" borderId="0" xfId="0" applyFont="1" applyFill="1"/>
    <xf numFmtId="37" fontId="6" fillId="3" borderId="0" xfId="1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18" fillId="3" borderId="0" xfId="0" applyFont="1" applyFill="1"/>
    <xf numFmtId="164" fontId="14" fillId="3" borderId="0" xfId="1" applyNumberFormat="1" applyFont="1" applyFill="1" applyAlignment="1">
      <alignment horizontal="right"/>
    </xf>
    <xf numFmtId="1" fontId="5" fillId="3" borderId="0" xfId="1" applyNumberFormat="1" applyFont="1" applyFill="1" applyAlignment="1">
      <alignment horizontal="right"/>
    </xf>
    <xf numFmtId="0" fontId="30" fillId="3" borderId="0" xfId="5" applyFont="1" applyFill="1" applyAlignment="1">
      <alignment horizontal="right"/>
    </xf>
    <xf numFmtId="164" fontId="5" fillId="3" borderId="0" xfId="1" applyNumberFormat="1" applyFont="1" applyFill="1"/>
    <xf numFmtId="0" fontId="19" fillId="3" borderId="0" xfId="0" applyFont="1" applyFill="1"/>
    <xf numFmtId="0" fontId="19" fillId="3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29" fillId="3" borderId="0" xfId="0" applyFont="1" applyFill="1" applyAlignment="1">
      <alignment horizontal="right"/>
    </xf>
    <xf numFmtId="3" fontId="30" fillId="3" borderId="0" xfId="0" applyNumberFormat="1" applyFont="1" applyFill="1" applyAlignment="1">
      <alignment horizontal="right"/>
    </xf>
    <xf numFmtId="165" fontId="30" fillId="3" borderId="0" xfId="1" applyNumberFormat="1" applyFont="1" applyFill="1" applyAlignment="1">
      <alignment horizontal="right"/>
    </xf>
    <xf numFmtId="0" fontId="14" fillId="3" borderId="0" xfId="5" applyFont="1" applyFill="1" applyAlignment="1">
      <alignment horizontal="right"/>
    </xf>
    <xf numFmtId="0" fontId="14" fillId="3" borderId="0" xfId="0" applyFont="1" applyFill="1" applyAlignment="1">
      <alignment horizontal="right"/>
    </xf>
    <xf numFmtId="165" fontId="14" fillId="3" borderId="0" xfId="1" applyNumberFormat="1" applyFont="1" applyFill="1" applyAlignment="1">
      <alignment horizontal="right"/>
    </xf>
    <xf numFmtId="0" fontId="21" fillId="3" borderId="0" xfId="0" applyFont="1" applyFill="1" applyAlignment="1">
      <alignment horizontal="center"/>
    </xf>
    <xf numFmtId="164" fontId="20" fillId="4" borderId="0" xfId="1" applyNumberFormat="1" applyFont="1" applyFill="1" applyAlignment="1">
      <alignment horizontal="right"/>
    </xf>
    <xf numFmtId="3" fontId="20" fillId="4" borderId="0" xfId="0" applyNumberFormat="1" applyFont="1" applyFill="1" applyAlignment="1">
      <alignment horizontal="right"/>
    </xf>
    <xf numFmtId="3" fontId="18" fillId="3" borderId="0" xfId="0" applyNumberFormat="1" applyFont="1" applyFill="1"/>
    <xf numFmtId="3" fontId="5" fillId="3" borderId="0" xfId="0" applyNumberFormat="1" applyFont="1" applyFill="1"/>
    <xf numFmtId="0" fontId="22" fillId="3" borderId="0" xfId="0" applyFont="1" applyFill="1"/>
    <xf numFmtId="0" fontId="23" fillId="3" borderId="0" xfId="0" applyFont="1" applyFill="1"/>
    <xf numFmtId="0" fontId="20" fillId="3" borderId="0" xfId="0" applyFont="1" applyFill="1" applyAlignment="1">
      <alignment horizontal="right"/>
    </xf>
    <xf numFmtId="37" fontId="18" fillId="3" borderId="0" xfId="1" applyNumberFormat="1" applyFont="1" applyFill="1"/>
    <xf numFmtId="0" fontId="24" fillId="3" borderId="0" xfId="0" applyFont="1" applyFill="1"/>
    <xf numFmtId="37" fontId="20" fillId="4" borderId="0" xfId="1" applyNumberFormat="1" applyFont="1" applyFill="1" applyAlignment="1">
      <alignment horizontal="right"/>
    </xf>
    <xf numFmtId="3" fontId="20" fillId="3" borderId="0" xfId="0" applyNumberFormat="1" applyFont="1" applyFill="1" applyAlignment="1">
      <alignment horizontal="right"/>
    </xf>
    <xf numFmtId="3" fontId="20" fillId="0" borderId="0" xfId="0" applyNumberFormat="1" applyFont="1"/>
    <xf numFmtId="164" fontId="18" fillId="4" borderId="0" xfId="1" applyNumberFormat="1" applyFont="1" applyFill="1" applyAlignment="1">
      <alignment horizontal="right"/>
    </xf>
    <xf numFmtId="3" fontId="18" fillId="4" borderId="0" xfId="0" applyNumberFormat="1" applyFont="1" applyFill="1" applyAlignment="1">
      <alignment horizontal="right"/>
    </xf>
    <xf numFmtId="0" fontId="25" fillId="3" borderId="0" xfId="0" applyFont="1" applyFill="1"/>
    <xf numFmtId="0" fontId="4" fillId="3" borderId="0" xfId="0" applyFont="1" applyFill="1" applyAlignment="1">
      <alignment horizontal="left"/>
    </xf>
    <xf numFmtId="0" fontId="14" fillId="3" borderId="0" xfId="5" applyFont="1" applyFill="1" applyAlignment="1">
      <alignment horizontal="left"/>
    </xf>
    <xf numFmtId="3" fontId="5" fillId="3" borderId="0" xfId="0" applyNumberFormat="1" applyFont="1" applyFill="1" applyAlignment="1">
      <alignment horizontal="left"/>
    </xf>
    <xf numFmtId="164" fontId="5" fillId="3" borderId="0" xfId="1" applyNumberFormat="1" applyFont="1" applyFill="1" applyAlignment="1">
      <alignment horizontal="left"/>
    </xf>
    <xf numFmtId="37" fontId="5" fillId="3" borderId="0" xfId="2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14" fillId="3" borderId="0" xfId="0" applyFont="1" applyFill="1" applyAlignment="1">
      <alignment horizontal="left"/>
    </xf>
    <xf numFmtId="165" fontId="5" fillId="3" borderId="0" xfId="1" applyNumberFormat="1" applyFont="1" applyFill="1" applyAlignment="1">
      <alignment horizontal="left"/>
    </xf>
    <xf numFmtId="0" fontId="6" fillId="0" borderId="0" xfId="0" applyFont="1" applyAlignment="1">
      <alignment horizontal="right" indent="1"/>
    </xf>
    <xf numFmtId="164" fontId="12" fillId="3" borderId="0" xfId="0" applyNumberFormat="1" applyFont="1" applyFill="1" applyAlignment="1">
      <alignment horizontal="right"/>
    </xf>
    <xf numFmtId="164" fontId="17" fillId="3" borderId="0" xfId="0" applyNumberFormat="1" applyFont="1" applyFill="1" applyAlignment="1">
      <alignment horizontal="right"/>
    </xf>
    <xf numFmtId="3" fontId="17" fillId="3" borderId="0" xfId="0" applyNumberFormat="1" applyFont="1" applyFill="1" applyAlignment="1">
      <alignment horizontal="right"/>
    </xf>
    <xf numFmtId="0" fontId="7" fillId="2" borderId="1" xfId="0" applyFont="1" applyFill="1" applyBorder="1"/>
    <xf numFmtId="0" fontId="32" fillId="2" borderId="2" xfId="0" applyFont="1" applyFill="1" applyBorder="1" applyAlignment="1">
      <alignment horizontal="right"/>
    </xf>
    <xf numFmtId="0" fontId="29" fillId="3" borderId="0" xfId="0" applyFont="1" applyFill="1"/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0" fontId="31" fillId="3" borderId="0" xfId="5" applyFont="1" applyFill="1" applyAlignment="1">
      <alignment horizontal="right"/>
    </xf>
    <xf numFmtId="164" fontId="18" fillId="3" borderId="0" xfId="1" applyNumberFormat="1" applyFont="1" applyFill="1"/>
    <xf numFmtId="164" fontId="19" fillId="3" borderId="0" xfId="1" applyNumberFormat="1" applyFont="1" applyFill="1" applyAlignment="1">
      <alignment horizontal="right"/>
    </xf>
    <xf numFmtId="164" fontId="20" fillId="0" borderId="0" xfId="1" applyNumberFormat="1" applyFont="1" applyFill="1" applyAlignment="1">
      <alignment horizontal="right"/>
    </xf>
    <xf numFmtId="3" fontId="20" fillId="0" borderId="0" xfId="0" applyNumberFormat="1" applyFont="1" applyAlignment="1">
      <alignment horizontal="right"/>
    </xf>
    <xf numFmtId="37" fontId="18" fillId="0" borderId="0" xfId="2" applyNumberFormat="1" applyFont="1" applyFill="1" applyAlignment="1">
      <alignment horizontal="right"/>
    </xf>
    <xf numFmtId="164" fontId="30" fillId="0" borderId="0" xfId="1" applyNumberFormat="1" applyFont="1" applyFill="1" applyAlignment="1">
      <alignment horizontal="right"/>
    </xf>
    <xf numFmtId="3" fontId="23" fillId="0" borderId="0" xfId="0" applyNumberFormat="1" applyFont="1"/>
    <xf numFmtId="37" fontId="12" fillId="3" borderId="0" xfId="0" applyNumberFormat="1" applyFont="1" applyFill="1" applyAlignment="1">
      <alignment horizontal="right"/>
    </xf>
    <xf numFmtId="0" fontId="15" fillId="3" borderId="0" xfId="5" applyFont="1" applyFill="1" applyAlignment="1">
      <alignment horizontal="right"/>
    </xf>
    <xf numFmtId="0" fontId="27" fillId="3" borderId="0" xfId="0" applyFont="1" applyFill="1"/>
    <xf numFmtId="0" fontId="5" fillId="2" borderId="1" xfId="0" applyFont="1" applyFill="1" applyBorder="1"/>
    <xf numFmtId="0" fontId="32" fillId="2" borderId="1" xfId="0" applyFont="1" applyFill="1" applyBorder="1" applyAlignment="1">
      <alignment horizontal="right"/>
    </xf>
    <xf numFmtId="0" fontId="35" fillId="0" borderId="0" xfId="0" applyFont="1" applyAlignment="1">
      <alignment horizontal="left"/>
    </xf>
    <xf numFmtId="0" fontId="8" fillId="2" borderId="1" xfId="0" applyFont="1" applyFill="1" applyBorder="1"/>
    <xf numFmtId="0" fontId="34" fillId="2" borderId="3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right"/>
    </xf>
    <xf numFmtId="0" fontId="33" fillId="2" borderId="5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right"/>
    </xf>
    <xf numFmtId="0" fontId="34" fillId="2" borderId="3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/>
    </xf>
    <xf numFmtId="0" fontId="34" fillId="2" borderId="3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</cellXfs>
  <cellStyles count="7">
    <cellStyle name="Comma" xfId="1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847725</xdr:colOff>
      <xdr:row>1</xdr:row>
      <xdr:rowOff>238125</xdr:rowOff>
    </xdr:to>
    <xdr:pic>
      <xdr:nvPicPr>
        <xdr:cNvPr id="199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1D2AD741-3E48-4322-A7FD-A166569B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847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885825</xdr:colOff>
      <xdr:row>1</xdr:row>
      <xdr:rowOff>238125</xdr:rowOff>
    </xdr:to>
    <xdr:pic>
      <xdr:nvPicPr>
        <xdr:cNvPr id="634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6AD56571-06C1-4F34-8D95-88BD1B79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8858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olicy%20&amp;%20Research/Statistics/DBA%20Domestic%20Banking%20Activity%20-DBA/DBA%20-%20Website%20-%20Statement%20of%20Assets%20&amp;%20Liabilities/Statement%20of%20Assets%20&amp;%20Liab%20-%20A%20Retail%20Banks/2018/Assets%20and%20Liabilities%20-%20Category%20A%20Retail%20Banks%202007%20-%202018Q4.xls?5293C0A6" TargetMode="External"/><Relationship Id="rId1" Type="http://schemas.openxmlformats.org/officeDocument/2006/relationships/externalLinkPath" Target="file:///\\5293C0A6\Assets%20and%20Liabilities%20-%20Category%20A%20Retail%20Banks%202007%20-%20201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Non-Retail%20Banks/2020/A%20&amp;%20L%20-%20A%20Non-Retail%20Banks%202007%20-%202020Q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Retail%20Banks/2020/A%20&amp;%20L%20-%20Category%20A%20Retail%20Banks%202007%20-%202020Q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Non-Retail%20Banks/2020/A%20&amp;%20L%20-%20A%20Non-Retail%20Banks%202007%20-%202020Q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Retail%20Banks/2021/A%20&amp;%20L%20-%20Category%20A%20Retail%20Banks%202007%20-%202021Q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Non-Retail%20Banks/2021/A%20&amp;%20L%20-%20A%20Non-Retail%20Banks%202007%20-%202021Q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Retail%20Banks/2021/A%20&amp;%20L%20-%20Category%20A%20Retail%20Banks%202007%20-%202021Q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Non-Retail%20Banks/2021/A%20&amp;%20L%20-%20A%20Non-Retail%20Banks%202007%20-%202021Q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Retail%20Banks/2021/A%20&amp;%20L%20-%20Category%20A%20Retail%20Banks%202007%20-%202021Q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Non-Retail%20Banks/2021/A%20&amp;%20L%20-%20A%20Non-Retail%20Banks%202007%20-%202021Q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Retail%20Banks/2021/A%20&amp;%20L%20-%20Category%20A%20Retail%20Banks%202007%20-%202021Q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Policy%20&amp;%20Research/Statistics/DBA%20Domestic%20Banking%20Activity%20-DBA/DBA%20-%20Website%20-%20Statement%20of%20Assets%20&amp;%20Liabilities/Statement%20of%20Assets%20&amp;%20Liab%20-%20A%20Non-Retail%20Banks/2018/Assets%20and%20Liabilities%20Category%20A%20Non-Retail%20Banks%202007%20-%202018Q4.xls?3D737AE2" TargetMode="External"/><Relationship Id="rId1" Type="http://schemas.openxmlformats.org/officeDocument/2006/relationships/externalLinkPath" Target="file:///\\3D737AE2\Assets%20and%20Liabilities%20Category%20A%20Non-Retail%20Banks%202007%20-%202018Q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Non-Retail%20Banks/2021/A%20&amp;%20L%20-%20A%20Non-Retail%20Banks%202007%20-%202021Q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Retail%20Banks/2022/A%20&amp;%20L%20-%20Category%20A%20Retail%20Banks%202007%20-%202022Q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Non-Retail%20Banks/2022/A%20&amp;%20L%20-%20A%20Non-Retail%20Banks%202007%20-%202022Q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Retail%20Banks/2022/A%20&amp;%20L%20-%20Category%20A%20Retail%20Banks%202007%20-%202022Q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Non-Retail%20Banks/2022/A%20&amp;%20L%20-%20A%20Non-Retail%20Banks%202007%20-%202022Q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Retail%20Banks/2019/A%20&amp;%20L%20-%20Category%20A%20Retail%20Banks%202007%20-%202019Q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Non-Retail%20Banks/2019/A%20&amp;%20L%20-%20A%20Non-Retail%20Banks%202007%20-%202019Q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Retail%20Banks/2020/A%20&amp;%20L%20-%20Category%20A%20Retail%20Banks%202007%20-%202020Q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Non-Retail%20Banks/2020/A%20&amp;%20L%20-%20A%20Non-Retail%20Banks%202007%20-%202020Q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Retail%20Banks/2020/A%20&amp;%20L%20-%20Category%20A%20Retail%20Banks%202007%20-%202020Q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Non-Retail%20Banks/2020/A%20&amp;%20L%20-%20A%20Non-Retail%20Banks%202007%20-%202020Q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DBA%20Domestic%20Banking%20Activity%20-DBA/DBA%20-%20Website%20-%20Statement%20of%20Assets%20&amp;%20Liabilities/Statement%20of%20Assets%20&amp;%20Liab%20-%20A%20Retail%20Banks/2020/A%20&amp;%20L%20-%20Category%20A%20Retail%20Banks%202007%20-%202020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- 2018"/>
      <sheetName val="2007 - 2014"/>
    </sheetNames>
    <sheetDataSet>
      <sheetData sheetId="0">
        <row r="7">
          <cell r="R7">
            <v>71190</v>
          </cell>
        </row>
        <row r="8">
          <cell r="R8">
            <v>5258633</v>
          </cell>
        </row>
        <row r="10">
          <cell r="R10">
            <v>52049</v>
          </cell>
        </row>
        <row r="11">
          <cell r="R11">
            <v>199168</v>
          </cell>
        </row>
        <row r="12">
          <cell r="R12">
            <v>0</v>
          </cell>
        </row>
        <row r="15">
          <cell r="R15">
            <v>3219685</v>
          </cell>
        </row>
        <row r="16">
          <cell r="R16">
            <v>1787731</v>
          </cell>
        </row>
        <row r="17">
          <cell r="R17">
            <v>0</v>
          </cell>
        </row>
        <row r="18">
          <cell r="R18">
            <v>0</v>
          </cell>
        </row>
        <row r="19">
          <cell r="R19">
            <v>0</v>
          </cell>
        </row>
        <row r="23">
          <cell r="R23">
            <v>15728</v>
          </cell>
        </row>
        <row r="24">
          <cell r="R24">
            <v>0</v>
          </cell>
        </row>
        <row r="25">
          <cell r="R25">
            <v>72</v>
          </cell>
        </row>
        <row r="26">
          <cell r="R26">
            <v>0</v>
          </cell>
        </row>
        <row r="27">
          <cell r="R27">
            <v>0</v>
          </cell>
        </row>
        <row r="28">
          <cell r="R28">
            <v>0</v>
          </cell>
        </row>
        <row r="29">
          <cell r="R29">
            <v>0</v>
          </cell>
        </row>
        <row r="32">
          <cell r="R32">
            <v>673486</v>
          </cell>
        </row>
        <row r="33">
          <cell r="R33">
            <v>401947</v>
          </cell>
        </row>
        <row r="34">
          <cell r="R34">
            <v>106534</v>
          </cell>
        </row>
        <row r="35">
          <cell r="R35">
            <v>181360</v>
          </cell>
        </row>
        <row r="36">
          <cell r="R36">
            <v>1849243</v>
          </cell>
        </row>
        <row r="38">
          <cell r="R38">
            <v>88259</v>
          </cell>
        </row>
        <row r="41">
          <cell r="R41">
            <v>0</v>
          </cell>
        </row>
        <row r="42">
          <cell r="R42">
            <v>0</v>
          </cell>
        </row>
        <row r="43">
          <cell r="R43">
            <v>10490</v>
          </cell>
        </row>
        <row r="47">
          <cell r="R47">
            <v>77623</v>
          </cell>
        </row>
        <row r="48">
          <cell r="R48">
            <v>0</v>
          </cell>
        </row>
        <row r="49">
          <cell r="R49">
            <v>46</v>
          </cell>
        </row>
        <row r="50">
          <cell r="R50">
            <v>0</v>
          </cell>
        </row>
        <row r="51">
          <cell r="R51">
            <v>0</v>
          </cell>
        </row>
        <row r="57">
          <cell r="R57">
            <v>188589</v>
          </cell>
        </row>
        <row r="58">
          <cell r="R58">
            <v>60080</v>
          </cell>
        </row>
        <row r="59">
          <cell r="R59">
            <v>808872</v>
          </cell>
        </row>
        <row r="60">
          <cell r="R60">
            <v>258683</v>
          </cell>
        </row>
        <row r="61">
          <cell r="R61">
            <v>114220</v>
          </cell>
        </row>
        <row r="62">
          <cell r="R62">
            <v>435969</v>
          </cell>
        </row>
        <row r="63">
          <cell r="R63">
            <v>52036</v>
          </cell>
        </row>
        <row r="64">
          <cell r="R64">
            <v>0</v>
          </cell>
        </row>
        <row r="65">
          <cell r="R65">
            <v>0</v>
          </cell>
        </row>
        <row r="66">
          <cell r="R66">
            <v>0</v>
          </cell>
        </row>
        <row r="67">
          <cell r="R67">
            <v>0</v>
          </cell>
        </row>
        <row r="68">
          <cell r="R68">
            <v>52036</v>
          </cell>
        </row>
        <row r="69">
          <cell r="R69">
            <v>679</v>
          </cell>
        </row>
        <row r="70">
          <cell r="R70">
            <v>4779</v>
          </cell>
        </row>
        <row r="71">
          <cell r="R71">
            <v>0</v>
          </cell>
        </row>
        <row r="72">
          <cell r="R72">
            <v>42204</v>
          </cell>
        </row>
        <row r="73">
          <cell r="R73">
            <v>4374</v>
          </cell>
        </row>
        <row r="74">
          <cell r="R74">
            <v>2570013</v>
          </cell>
        </row>
        <row r="75">
          <cell r="R75">
            <v>2137044</v>
          </cell>
        </row>
        <row r="76">
          <cell r="R76">
            <v>73304</v>
          </cell>
        </row>
        <row r="77">
          <cell r="R77">
            <v>7003</v>
          </cell>
        </row>
        <row r="78">
          <cell r="R78">
            <v>352662</v>
          </cell>
        </row>
        <row r="81">
          <cell r="R81">
            <v>842</v>
          </cell>
        </row>
        <row r="82">
          <cell r="R82">
            <v>0</v>
          </cell>
        </row>
        <row r="83">
          <cell r="R83">
            <v>125981</v>
          </cell>
        </row>
        <row r="84">
          <cell r="R84">
            <v>1587940</v>
          </cell>
        </row>
        <row r="85">
          <cell r="R85">
            <v>384955</v>
          </cell>
        </row>
        <row r="87">
          <cell r="R87">
            <v>242314</v>
          </cell>
        </row>
        <row r="88">
          <cell r="R88">
            <v>158589</v>
          </cell>
        </row>
        <row r="94">
          <cell r="R94">
            <v>8697456</v>
          </cell>
        </row>
        <row r="95">
          <cell r="R95">
            <v>3876324</v>
          </cell>
        </row>
        <row r="96">
          <cell r="R96">
            <v>12573780</v>
          </cell>
        </row>
        <row r="99">
          <cell r="R99">
            <v>101811</v>
          </cell>
        </row>
        <row r="100">
          <cell r="R100">
            <v>94724</v>
          </cell>
        </row>
        <row r="101">
          <cell r="R101">
            <v>1114564</v>
          </cell>
        </row>
        <row r="102">
          <cell r="R102">
            <v>6</v>
          </cell>
        </row>
        <row r="103">
          <cell r="R103">
            <v>6937</v>
          </cell>
        </row>
        <row r="104">
          <cell r="R104">
            <v>9343</v>
          </cell>
        </row>
        <row r="105">
          <cell r="R105">
            <v>1129938</v>
          </cell>
        </row>
        <row r="106">
          <cell r="R106">
            <v>466967</v>
          </cell>
        </row>
        <row r="109">
          <cell r="R109">
            <v>2355</v>
          </cell>
        </row>
        <row r="110">
          <cell r="R110">
            <v>3283</v>
          </cell>
        </row>
        <row r="111">
          <cell r="R111">
            <v>723536</v>
          </cell>
        </row>
        <row r="112">
          <cell r="R112">
            <v>17531</v>
          </cell>
        </row>
        <row r="113">
          <cell r="R113">
            <v>7315</v>
          </cell>
        </row>
        <row r="114">
          <cell r="R114">
            <v>13102</v>
          </cell>
        </row>
        <row r="115">
          <cell r="R115">
            <v>1201522</v>
          </cell>
        </row>
        <row r="116">
          <cell r="R116">
            <v>1037021</v>
          </cell>
        </row>
        <row r="119">
          <cell r="R119">
            <v>994722</v>
          </cell>
        </row>
        <row r="120">
          <cell r="R120">
            <v>59548</v>
          </cell>
        </row>
        <row r="121">
          <cell r="R121">
            <v>393392</v>
          </cell>
        </row>
        <row r="122">
          <cell r="R122">
            <v>22055</v>
          </cell>
        </row>
        <row r="123">
          <cell r="R123">
            <v>57779</v>
          </cell>
        </row>
        <row r="124">
          <cell r="R124">
            <v>9999</v>
          </cell>
        </row>
        <row r="125">
          <cell r="R125">
            <v>580802</v>
          </cell>
        </row>
        <row r="126">
          <cell r="R126">
            <v>649204</v>
          </cell>
        </row>
        <row r="129">
          <cell r="R129">
            <v>2007436</v>
          </cell>
        </row>
        <row r="130">
          <cell r="R130">
            <v>17946</v>
          </cell>
        </row>
        <row r="131">
          <cell r="R131">
            <v>341652</v>
          </cell>
        </row>
        <row r="132">
          <cell r="R132">
            <v>782900</v>
          </cell>
        </row>
        <row r="133">
          <cell r="R133">
            <v>726390</v>
          </cell>
        </row>
        <row r="135">
          <cell r="R135">
            <v>0</v>
          </cell>
        </row>
        <row r="136">
          <cell r="R136">
            <v>210650</v>
          </cell>
        </row>
        <row r="138">
          <cell r="R138">
            <v>2042233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9"/>
      <sheetName val="2007-2014"/>
    </sheetNames>
    <sheetDataSet>
      <sheetData sheetId="0">
        <row r="7">
          <cell r="U7">
            <v>119</v>
          </cell>
        </row>
        <row r="8">
          <cell r="U8">
            <v>2694217</v>
          </cell>
        </row>
        <row r="10">
          <cell r="U10">
            <v>47861</v>
          </cell>
        </row>
        <row r="11">
          <cell r="U11">
            <v>0</v>
          </cell>
        </row>
        <row r="12">
          <cell r="U12">
            <v>0</v>
          </cell>
        </row>
        <row r="15">
          <cell r="U15">
            <v>2583519</v>
          </cell>
        </row>
        <row r="16">
          <cell r="U16">
            <v>62313</v>
          </cell>
        </row>
        <row r="17">
          <cell r="U17">
            <v>524</v>
          </cell>
        </row>
        <row r="18">
          <cell r="U18">
            <v>0</v>
          </cell>
        </row>
        <row r="19">
          <cell r="U19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2">
          <cell r="U32">
            <v>1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70013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44199</v>
          </cell>
        </row>
        <row r="44">
          <cell r="U44">
            <v>0</v>
          </cell>
        </row>
        <row r="47">
          <cell r="U47">
            <v>23510</v>
          </cell>
        </row>
        <row r="48">
          <cell r="U48">
            <v>6937</v>
          </cell>
        </row>
        <row r="49">
          <cell r="U49">
            <v>26619</v>
          </cell>
        </row>
        <row r="50">
          <cell r="U50">
            <v>0</v>
          </cell>
        </row>
        <row r="51">
          <cell r="U51">
            <v>0</v>
          </cell>
        </row>
        <row r="57">
          <cell r="U57">
            <v>0</v>
          </cell>
        </row>
        <row r="58">
          <cell r="U58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570806</v>
          </cell>
        </row>
        <row r="73">
          <cell r="U73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81">
          <cell r="U81">
            <v>0</v>
          </cell>
        </row>
        <row r="82">
          <cell r="U82">
            <v>0</v>
          </cell>
        </row>
        <row r="83">
          <cell r="U83">
            <v>179433</v>
          </cell>
        </row>
        <row r="84">
          <cell r="U84">
            <v>0</v>
          </cell>
        </row>
        <row r="85">
          <cell r="U85">
            <v>0</v>
          </cell>
        </row>
        <row r="87">
          <cell r="U87">
            <v>11364</v>
          </cell>
        </row>
        <row r="88">
          <cell r="U88">
            <v>110103</v>
          </cell>
        </row>
        <row r="94">
          <cell r="U94">
            <v>2810933</v>
          </cell>
        </row>
        <row r="95">
          <cell r="U95">
            <v>403315</v>
          </cell>
        </row>
        <row r="96">
          <cell r="U96">
            <v>3214248</v>
          </cell>
        </row>
        <row r="99">
          <cell r="U99">
            <v>0</v>
          </cell>
        </row>
        <row r="100">
          <cell r="U100">
            <v>0</v>
          </cell>
        </row>
        <row r="101">
          <cell r="U101">
            <v>0</v>
          </cell>
        </row>
        <row r="102">
          <cell r="U102">
            <v>0</v>
          </cell>
        </row>
        <row r="103">
          <cell r="U103">
            <v>0</v>
          </cell>
        </row>
        <row r="104">
          <cell r="U104">
            <v>179</v>
          </cell>
        </row>
        <row r="105">
          <cell r="U105">
            <v>253801</v>
          </cell>
        </row>
        <row r="106">
          <cell r="U106">
            <v>0</v>
          </cell>
        </row>
        <row r="109">
          <cell r="U109">
            <v>0</v>
          </cell>
        </row>
        <row r="110">
          <cell r="U110">
            <v>0</v>
          </cell>
        </row>
        <row r="111">
          <cell r="U111">
            <v>0</v>
          </cell>
        </row>
        <row r="112">
          <cell r="U112">
            <v>0</v>
          </cell>
        </row>
        <row r="113">
          <cell r="U113">
            <v>0</v>
          </cell>
        </row>
        <row r="114">
          <cell r="U114">
            <v>0</v>
          </cell>
        </row>
        <row r="115">
          <cell r="U115">
            <v>2552389</v>
          </cell>
        </row>
        <row r="116">
          <cell r="U116">
            <v>0</v>
          </cell>
        </row>
        <row r="119">
          <cell r="U119">
            <v>0</v>
          </cell>
        </row>
        <row r="120">
          <cell r="U120">
            <v>0</v>
          </cell>
        </row>
        <row r="121">
          <cell r="U121">
            <v>0</v>
          </cell>
        </row>
        <row r="122">
          <cell r="U122">
            <v>0</v>
          </cell>
        </row>
        <row r="123">
          <cell r="U123">
            <v>0</v>
          </cell>
        </row>
        <row r="124">
          <cell r="U124">
            <v>0</v>
          </cell>
        </row>
        <row r="125">
          <cell r="U125">
            <v>4564</v>
          </cell>
        </row>
        <row r="126">
          <cell r="U126">
            <v>0</v>
          </cell>
        </row>
        <row r="129">
          <cell r="U129">
            <v>0</v>
          </cell>
        </row>
        <row r="130">
          <cell r="U130">
            <v>0</v>
          </cell>
        </row>
        <row r="131">
          <cell r="U131">
            <v>403152</v>
          </cell>
        </row>
        <row r="132">
          <cell r="U132">
            <v>0</v>
          </cell>
        </row>
        <row r="133">
          <cell r="U133">
            <v>163</v>
          </cell>
        </row>
        <row r="135">
          <cell r="U135">
            <v>0</v>
          </cell>
        </row>
        <row r="136">
          <cell r="U136">
            <v>118182</v>
          </cell>
        </row>
        <row r="138">
          <cell r="U138">
            <v>404891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- 2019"/>
      <sheetName val="2007 - 2014"/>
    </sheetNames>
    <sheetDataSet>
      <sheetData sheetId="0">
        <row r="7">
          <cell r="V7">
            <v>86465.69</v>
          </cell>
        </row>
        <row r="8">
          <cell r="V8">
            <v>4909838.3270000005</v>
          </cell>
        </row>
        <row r="10">
          <cell r="V10">
            <v>70393.394</v>
          </cell>
        </row>
        <row r="11">
          <cell r="V11">
            <v>56660.476000000002</v>
          </cell>
        </row>
        <row r="12">
          <cell r="V12">
            <v>0</v>
          </cell>
        </row>
        <row r="15">
          <cell r="V15">
            <v>3252302.8429999999</v>
          </cell>
        </row>
        <row r="16">
          <cell r="V16">
            <v>1530481.6140000001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28">
          <cell r="V28">
            <v>0</v>
          </cell>
        </row>
        <row r="29">
          <cell r="V29">
            <v>0</v>
          </cell>
        </row>
        <row r="32">
          <cell r="V32">
            <v>611026.45900000003</v>
          </cell>
        </row>
        <row r="33">
          <cell r="V33">
            <v>192498.42499999999</v>
          </cell>
        </row>
        <row r="34">
          <cell r="V34">
            <v>338728.49900000001</v>
          </cell>
        </row>
        <row r="35">
          <cell r="V35">
            <v>47060.828000000001</v>
          </cell>
        </row>
        <row r="36">
          <cell r="V36">
            <v>3116043.594</v>
          </cell>
        </row>
        <row r="40">
          <cell r="V40">
            <v>100</v>
          </cell>
        </row>
        <row r="41">
          <cell r="V41">
            <v>0</v>
          </cell>
        </row>
        <row r="42">
          <cell r="V42">
            <v>0</v>
          </cell>
        </row>
        <row r="43">
          <cell r="V43">
            <v>8637.6890000000003</v>
          </cell>
        </row>
        <row r="44">
          <cell r="V44">
            <v>0</v>
          </cell>
        </row>
        <row r="47">
          <cell r="V47">
            <v>77623</v>
          </cell>
        </row>
        <row r="48">
          <cell r="V48">
            <v>0</v>
          </cell>
        </row>
        <row r="49">
          <cell r="V49">
            <v>18.091999999999999</v>
          </cell>
        </row>
        <row r="50">
          <cell r="V50">
            <v>0</v>
          </cell>
        </row>
        <row r="51">
          <cell r="V51">
            <v>0</v>
          </cell>
        </row>
        <row r="57">
          <cell r="V57">
            <v>238297.57500000001</v>
          </cell>
        </row>
        <row r="58">
          <cell r="V58">
            <v>46476.716</v>
          </cell>
        </row>
        <row r="60">
          <cell r="V60">
            <v>284018.05699999997</v>
          </cell>
        </row>
        <row r="61">
          <cell r="V61">
            <v>140378.59899999999</v>
          </cell>
        </row>
        <row r="62">
          <cell r="V62">
            <v>783478.76199999999</v>
          </cell>
        </row>
        <row r="65">
          <cell r="V65">
            <v>0</v>
          </cell>
        </row>
        <row r="66">
          <cell r="V66">
            <v>31.411000000000001</v>
          </cell>
        </row>
        <row r="67">
          <cell r="V67">
            <v>0</v>
          </cell>
        </row>
        <row r="69">
          <cell r="V69">
            <v>3050.97</v>
          </cell>
        </row>
        <row r="70">
          <cell r="V70">
            <v>1861.653</v>
          </cell>
        </row>
        <row r="71">
          <cell r="V71">
            <v>8.5000000000000006E-2</v>
          </cell>
        </row>
        <row r="72">
          <cell r="V72">
            <v>27303.085999999999</v>
          </cell>
        </row>
        <row r="73">
          <cell r="V73">
            <v>2329.7020000000002</v>
          </cell>
        </row>
        <row r="75">
          <cell r="V75">
            <v>2265350.0389999999</v>
          </cell>
        </row>
        <row r="76">
          <cell r="V76">
            <v>70543.671000000002</v>
          </cell>
        </row>
        <row r="77">
          <cell r="V77">
            <v>4998.317</v>
          </cell>
        </row>
        <row r="78">
          <cell r="V78">
            <v>251403.465</v>
          </cell>
        </row>
        <row r="81">
          <cell r="V81">
            <v>35574.097000000002</v>
          </cell>
        </row>
        <row r="82">
          <cell r="V82">
            <v>60.043999999999997</v>
          </cell>
        </row>
        <row r="83">
          <cell r="V83">
            <v>79174.721000000005</v>
          </cell>
        </row>
        <row r="84">
          <cell r="V84">
            <v>688303.05700000003</v>
          </cell>
        </row>
        <row r="85">
          <cell r="V85">
            <v>535374.04799999995</v>
          </cell>
        </row>
        <row r="87">
          <cell r="V87">
            <v>210900.04199999999</v>
          </cell>
        </row>
        <row r="88">
          <cell r="V88">
            <v>165817.97</v>
          </cell>
        </row>
        <row r="94">
          <cell r="V94">
            <v>9630419.2880000006</v>
          </cell>
        </row>
        <row r="95">
          <cell r="V95">
            <v>3288671.59</v>
          </cell>
        </row>
        <row r="96">
          <cell r="V96">
            <v>12919090.878</v>
          </cell>
        </row>
        <row r="99">
          <cell r="V99">
            <v>64627.432999999997</v>
          </cell>
        </row>
        <row r="100">
          <cell r="V100">
            <v>129190.621</v>
          </cell>
        </row>
        <row r="101">
          <cell r="V101">
            <v>1430405.2560000001</v>
          </cell>
        </row>
        <row r="102">
          <cell r="V102">
            <v>6</v>
          </cell>
        </row>
        <row r="103">
          <cell r="V103">
            <v>28288.986000000001</v>
          </cell>
        </row>
        <row r="104">
          <cell r="V104">
            <v>50314.582999999999</v>
          </cell>
        </row>
        <row r="105">
          <cell r="V105">
            <v>1452910.6310000001</v>
          </cell>
        </row>
        <row r="106">
          <cell r="V106">
            <v>527610.43500000006</v>
          </cell>
        </row>
        <row r="109">
          <cell r="V109">
            <v>35.764000000000003</v>
          </cell>
        </row>
        <row r="110">
          <cell r="V110">
            <v>13489.563</v>
          </cell>
        </row>
        <row r="111">
          <cell r="V111">
            <v>908949.03399999999</v>
          </cell>
        </row>
        <row r="112">
          <cell r="V112">
            <v>13105.73</v>
          </cell>
        </row>
        <row r="113">
          <cell r="V113">
            <v>49194.885999999999</v>
          </cell>
        </row>
        <row r="114">
          <cell r="V114">
            <v>3772.8229999999999</v>
          </cell>
        </row>
        <row r="115">
          <cell r="V115">
            <v>1350096.0830000001</v>
          </cell>
        </row>
        <row r="116">
          <cell r="V116">
            <v>1504893.351</v>
          </cell>
        </row>
        <row r="119">
          <cell r="V119">
            <v>680171.14300000004</v>
          </cell>
        </row>
        <row r="120">
          <cell r="V120">
            <v>144072.60699999999</v>
          </cell>
        </row>
        <row r="121">
          <cell r="V121">
            <v>325672.87800000003</v>
          </cell>
        </row>
        <row r="122">
          <cell r="V122">
            <v>8101.5519999999997</v>
          </cell>
        </row>
        <row r="123">
          <cell r="V123">
            <v>12560.45</v>
          </cell>
        </row>
        <row r="124">
          <cell r="V124">
            <v>8433.9030000000002</v>
          </cell>
        </row>
        <row r="125">
          <cell r="V125">
            <v>366403.88400000002</v>
          </cell>
        </row>
        <row r="126">
          <cell r="V126">
            <v>558111.69200000004</v>
          </cell>
        </row>
        <row r="129">
          <cell r="V129">
            <v>1438386.9439999999</v>
          </cell>
        </row>
        <row r="130">
          <cell r="V130">
            <v>67972.587</v>
          </cell>
        </row>
        <row r="131">
          <cell r="V131">
            <v>458723.88900000002</v>
          </cell>
        </row>
        <row r="132">
          <cell r="V132">
            <v>659797.652</v>
          </cell>
        </row>
        <row r="133">
          <cell r="V133">
            <v>663790.51800000004</v>
          </cell>
        </row>
        <row r="135">
          <cell r="V135">
            <v>0</v>
          </cell>
        </row>
        <row r="136">
          <cell r="V136">
            <v>260296.413</v>
          </cell>
        </row>
        <row r="138">
          <cell r="V138">
            <v>2043379.398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9"/>
      <sheetName val="2007-2014"/>
    </sheetNames>
    <sheetDataSet>
      <sheetData sheetId="0">
        <row r="7">
          <cell r="V7">
            <v>119.041</v>
          </cell>
        </row>
        <row r="8">
          <cell r="V8">
            <v>4053729.5409999997</v>
          </cell>
        </row>
        <row r="10">
          <cell r="V10">
            <v>8554.6409999999996</v>
          </cell>
        </row>
        <row r="11">
          <cell r="V11">
            <v>0.245</v>
          </cell>
        </row>
        <row r="12">
          <cell r="V12">
            <v>0</v>
          </cell>
        </row>
        <row r="15">
          <cell r="V15">
            <v>4039791.0389999999</v>
          </cell>
        </row>
        <row r="16">
          <cell r="V16">
            <v>5294.616</v>
          </cell>
        </row>
        <row r="17">
          <cell r="V17">
            <v>89</v>
          </cell>
        </row>
        <row r="18">
          <cell r="V18">
            <v>0</v>
          </cell>
        </row>
        <row r="19">
          <cell r="V19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28">
          <cell r="V28">
            <v>0</v>
          </cell>
        </row>
        <row r="29">
          <cell r="V29">
            <v>0</v>
          </cell>
        </row>
        <row r="32">
          <cell r="V32">
            <v>1.294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69992.192999999999</v>
          </cell>
        </row>
        <row r="40">
          <cell r="V40">
            <v>0</v>
          </cell>
        </row>
        <row r="41">
          <cell r="V41">
            <v>0</v>
          </cell>
        </row>
        <row r="42">
          <cell r="V42">
            <v>0</v>
          </cell>
        </row>
        <row r="43">
          <cell r="V43">
            <v>18745.348999999998</v>
          </cell>
        </row>
        <row r="44">
          <cell r="V44">
            <v>0</v>
          </cell>
        </row>
        <row r="47">
          <cell r="V47">
            <v>25152.935000000001</v>
          </cell>
        </row>
        <row r="48">
          <cell r="V48">
            <v>67468.073999999993</v>
          </cell>
        </row>
        <row r="49">
          <cell r="V49">
            <v>17273.657999999999</v>
          </cell>
        </row>
        <row r="50">
          <cell r="V50">
            <v>0</v>
          </cell>
        </row>
        <row r="51">
          <cell r="V51">
            <v>0</v>
          </cell>
        </row>
        <row r="57">
          <cell r="V57">
            <v>0</v>
          </cell>
        </row>
        <row r="58">
          <cell r="V58">
            <v>0</v>
          </cell>
        </row>
        <row r="60"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5">
          <cell r="V65">
            <v>0</v>
          </cell>
        </row>
        <row r="66">
          <cell r="V66">
            <v>0</v>
          </cell>
        </row>
        <row r="67">
          <cell r="V67">
            <v>0</v>
          </cell>
        </row>
        <row r="69">
          <cell r="V69">
            <v>0</v>
          </cell>
        </row>
        <row r="70">
          <cell r="V70">
            <v>0</v>
          </cell>
        </row>
        <row r="71">
          <cell r="V71">
            <v>0</v>
          </cell>
        </row>
        <row r="72">
          <cell r="V72">
            <v>324131.36900000001</v>
          </cell>
        </row>
        <row r="73">
          <cell r="V73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81">
          <cell r="V81">
            <v>0</v>
          </cell>
        </row>
        <row r="82">
          <cell r="V82">
            <v>0</v>
          </cell>
        </row>
        <row r="83">
          <cell r="V83">
            <v>229037.109</v>
          </cell>
        </row>
        <row r="84">
          <cell r="V84">
            <v>0</v>
          </cell>
        </row>
        <row r="85">
          <cell r="V85">
            <v>0</v>
          </cell>
        </row>
        <row r="87">
          <cell r="V87">
            <v>10494.132</v>
          </cell>
        </row>
        <row r="88">
          <cell r="V88">
            <v>153196.56099999999</v>
          </cell>
        </row>
        <row r="94">
          <cell r="V94">
            <v>3786047.0700000003</v>
          </cell>
        </row>
        <row r="95">
          <cell r="V95">
            <v>616410.26699999999</v>
          </cell>
        </row>
        <row r="96">
          <cell r="V96">
            <v>4402457.3370000003</v>
          </cell>
        </row>
        <row r="99">
          <cell r="V99">
            <v>0</v>
          </cell>
        </row>
        <row r="100">
          <cell r="V100">
            <v>0</v>
          </cell>
        </row>
        <row r="101">
          <cell r="V101">
            <v>0</v>
          </cell>
        </row>
        <row r="102">
          <cell r="V102">
            <v>0</v>
          </cell>
        </row>
        <row r="103">
          <cell r="V103">
            <v>0</v>
          </cell>
        </row>
        <row r="104">
          <cell r="V104">
            <v>298.18</v>
          </cell>
        </row>
        <row r="105">
          <cell r="V105">
            <v>212767.557</v>
          </cell>
        </row>
        <row r="106">
          <cell r="V106">
            <v>0</v>
          </cell>
        </row>
        <row r="109">
          <cell r="V109">
            <v>0</v>
          </cell>
        </row>
        <row r="110">
          <cell r="V110">
            <v>0</v>
          </cell>
        </row>
        <row r="111">
          <cell r="V111">
            <v>0</v>
          </cell>
        </row>
        <row r="112">
          <cell r="V112">
            <v>0</v>
          </cell>
        </row>
        <row r="113">
          <cell r="V113">
            <v>0</v>
          </cell>
        </row>
        <row r="114">
          <cell r="V114">
            <v>0</v>
          </cell>
        </row>
        <row r="115">
          <cell r="V115">
            <v>3568417.5759999999</v>
          </cell>
        </row>
        <row r="116">
          <cell r="V116">
            <v>0</v>
          </cell>
        </row>
        <row r="119">
          <cell r="V119">
            <v>0</v>
          </cell>
        </row>
        <row r="120">
          <cell r="V120">
            <v>0</v>
          </cell>
        </row>
        <row r="121">
          <cell r="V121">
            <v>0</v>
          </cell>
        </row>
        <row r="122">
          <cell r="V122">
            <v>0</v>
          </cell>
        </row>
        <row r="123">
          <cell r="V123">
            <v>0</v>
          </cell>
        </row>
        <row r="124">
          <cell r="V124">
            <v>0</v>
          </cell>
        </row>
        <row r="125">
          <cell r="V125">
            <v>4563.7569999999996</v>
          </cell>
        </row>
        <row r="126">
          <cell r="V126">
            <v>0</v>
          </cell>
        </row>
        <row r="129">
          <cell r="V129">
            <v>0</v>
          </cell>
        </row>
        <row r="130">
          <cell r="V130">
            <v>0</v>
          </cell>
        </row>
        <row r="131">
          <cell r="V131">
            <v>614813.76500000001</v>
          </cell>
        </row>
        <row r="132">
          <cell r="V132">
            <v>0</v>
          </cell>
        </row>
        <row r="133">
          <cell r="V133">
            <v>1596.502</v>
          </cell>
        </row>
        <row r="135">
          <cell r="V135">
            <v>0</v>
          </cell>
        </row>
        <row r="136">
          <cell r="V136">
            <v>159638.97099999999</v>
          </cell>
        </row>
        <row r="138">
          <cell r="V138">
            <v>407244.94699999999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- 2019"/>
      <sheetName val="2007 - 2014"/>
    </sheetNames>
    <sheetDataSet>
      <sheetData sheetId="0" refreshError="1">
        <row r="7">
          <cell r="W7">
            <v>75622.723750000005</v>
          </cell>
        </row>
        <row r="8">
          <cell r="W8">
            <v>4708442.3073700005</v>
          </cell>
        </row>
        <row r="10">
          <cell r="W10">
            <v>79844.396439999997</v>
          </cell>
        </row>
        <row r="11">
          <cell r="W11">
            <v>25555.984</v>
          </cell>
        </row>
        <row r="12">
          <cell r="W12">
            <v>0</v>
          </cell>
        </row>
        <row r="15">
          <cell r="W15">
            <v>3165906.75489</v>
          </cell>
        </row>
        <row r="16">
          <cell r="W16">
            <v>1437135.1720400001</v>
          </cell>
        </row>
        <row r="17">
          <cell r="W17">
            <v>0</v>
          </cell>
        </row>
        <row r="18">
          <cell r="W18">
            <v>0</v>
          </cell>
        </row>
        <row r="19">
          <cell r="W19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2">
          <cell r="W32">
            <v>619889.68400000001</v>
          </cell>
        </row>
        <row r="33">
          <cell r="W33">
            <v>224814.09954</v>
          </cell>
        </row>
        <row r="34">
          <cell r="W34">
            <v>353016.98189</v>
          </cell>
        </row>
        <row r="35">
          <cell r="W35">
            <v>45689.833980000003</v>
          </cell>
        </row>
        <row r="36">
          <cell r="W36">
            <v>3285807.0867300001</v>
          </cell>
        </row>
        <row r="40">
          <cell r="W40">
            <v>100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8439.6894300000004</v>
          </cell>
        </row>
        <row r="44">
          <cell r="W44">
            <v>0</v>
          </cell>
        </row>
        <row r="47">
          <cell r="W47">
            <v>77623</v>
          </cell>
        </row>
        <row r="48">
          <cell r="W48">
            <v>0</v>
          </cell>
        </row>
        <row r="49">
          <cell r="W49">
            <v>18.09188</v>
          </cell>
        </row>
        <row r="50">
          <cell r="W50">
            <v>0</v>
          </cell>
        </row>
        <row r="51">
          <cell r="W51">
            <v>0</v>
          </cell>
        </row>
        <row r="57">
          <cell r="W57">
            <v>224447.88380000001</v>
          </cell>
        </row>
        <row r="58">
          <cell r="W58">
            <v>44949.678999999996</v>
          </cell>
        </row>
        <row r="60">
          <cell r="W60">
            <v>283600.53483000002</v>
          </cell>
        </row>
        <row r="61">
          <cell r="W61">
            <v>139006.89024000001</v>
          </cell>
        </row>
        <row r="62">
          <cell r="W62">
            <v>822149.42483999999</v>
          </cell>
        </row>
        <row r="65">
          <cell r="W65">
            <v>0</v>
          </cell>
        </row>
        <row r="66">
          <cell r="W66">
            <v>0.78017999999999998</v>
          </cell>
        </row>
        <row r="67">
          <cell r="W67">
            <v>0</v>
          </cell>
        </row>
        <row r="69">
          <cell r="W69">
            <v>2978.61796</v>
          </cell>
        </row>
        <row r="70">
          <cell r="W70">
            <v>1873.1690000000001</v>
          </cell>
        </row>
        <row r="71">
          <cell r="W71">
            <v>0</v>
          </cell>
        </row>
        <row r="72">
          <cell r="W72">
            <v>11025.8992</v>
          </cell>
        </row>
        <row r="73">
          <cell r="W73">
            <v>3137.95127</v>
          </cell>
        </row>
        <row r="75">
          <cell r="W75">
            <v>2297295.3122899998</v>
          </cell>
        </row>
        <row r="76">
          <cell r="W76">
            <v>69149.236690000005</v>
          </cell>
        </row>
        <row r="77">
          <cell r="W77">
            <v>4761.1808000000001</v>
          </cell>
        </row>
        <row r="78">
          <cell r="W78">
            <v>252041.78782</v>
          </cell>
        </row>
        <row r="81">
          <cell r="W81">
            <v>35853.096669999999</v>
          </cell>
        </row>
        <row r="82">
          <cell r="W82">
            <v>0</v>
          </cell>
        </row>
        <row r="83">
          <cell r="W83">
            <v>77982.196679999994</v>
          </cell>
        </row>
        <row r="84">
          <cell r="W84">
            <v>669032.90157999995</v>
          </cell>
        </row>
        <row r="85">
          <cell r="W85">
            <v>536430.92180999997</v>
          </cell>
        </row>
        <row r="87">
          <cell r="W87">
            <v>207521.37903000001</v>
          </cell>
        </row>
        <row r="88">
          <cell r="W88">
            <v>204217.58645</v>
          </cell>
        </row>
        <row r="94">
          <cell r="W94">
            <v>9874292.9907900002</v>
          </cell>
        </row>
        <row r="95">
          <cell r="W95">
            <v>3278240.7900999999</v>
          </cell>
        </row>
        <row r="96">
          <cell r="W96">
            <v>13152533.780889999</v>
          </cell>
        </row>
        <row r="99">
          <cell r="W99">
            <v>41048.390339999998</v>
          </cell>
        </row>
        <row r="100">
          <cell r="W100">
            <v>122928.67402000001</v>
          </cell>
        </row>
        <row r="101">
          <cell r="W101">
            <v>1548348.02202</v>
          </cell>
        </row>
        <row r="102">
          <cell r="W102">
            <v>6</v>
          </cell>
        </row>
        <row r="103">
          <cell r="W103">
            <v>53028.853109999996</v>
          </cell>
        </row>
        <row r="104">
          <cell r="W104">
            <v>51796.080860000002</v>
          </cell>
        </row>
        <row r="105">
          <cell r="W105">
            <v>1412527.4792800001</v>
          </cell>
        </row>
        <row r="106">
          <cell r="W106">
            <v>576099.09274999995</v>
          </cell>
        </row>
        <row r="109">
          <cell r="W109">
            <v>49.455159999999999</v>
          </cell>
        </row>
        <row r="110">
          <cell r="W110">
            <v>13475.305899999999</v>
          </cell>
        </row>
        <row r="111">
          <cell r="W111">
            <v>1015990.92696</v>
          </cell>
        </row>
        <row r="112">
          <cell r="W112">
            <v>18102.774000000001</v>
          </cell>
        </row>
        <row r="113">
          <cell r="W113">
            <v>54265.157149999999</v>
          </cell>
        </row>
        <row r="114">
          <cell r="W114">
            <v>4690.5400499999996</v>
          </cell>
        </row>
        <row r="115">
          <cell r="W115">
            <v>1199672.07782</v>
          </cell>
        </row>
        <row r="116">
          <cell r="W116">
            <v>1528643.7861599999</v>
          </cell>
        </row>
        <row r="119">
          <cell r="W119">
            <v>762467.59933</v>
          </cell>
        </row>
        <row r="120">
          <cell r="W120">
            <v>153766.02390999999</v>
          </cell>
        </row>
        <row r="121">
          <cell r="W121">
            <v>420080.42358</v>
          </cell>
        </row>
        <row r="122">
          <cell r="W122">
            <v>8101.5519999999997</v>
          </cell>
        </row>
        <row r="123">
          <cell r="W123">
            <v>23124.436820000003</v>
          </cell>
        </row>
        <row r="124">
          <cell r="W124">
            <v>8252.7124600000006</v>
          </cell>
        </row>
        <row r="125">
          <cell r="W125">
            <v>327113.20004999998</v>
          </cell>
        </row>
        <row r="126">
          <cell r="W126">
            <v>530714.42706000002</v>
          </cell>
        </row>
        <row r="129">
          <cell r="W129">
            <v>1340277.08201</v>
          </cell>
        </row>
        <row r="130">
          <cell r="W130">
            <v>73102.866120000006</v>
          </cell>
        </row>
        <row r="131">
          <cell r="W131">
            <v>492022.13559999998</v>
          </cell>
        </row>
        <row r="132">
          <cell r="W132">
            <v>695881.32585000002</v>
          </cell>
        </row>
        <row r="133">
          <cell r="W133">
            <v>676957.38052000001</v>
          </cell>
        </row>
        <row r="135">
          <cell r="W135">
            <v>0</v>
          </cell>
        </row>
        <row r="136">
          <cell r="W136">
            <v>309208.05531000003</v>
          </cell>
        </row>
        <row r="138">
          <cell r="W138">
            <v>1825178.0925099999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21"/>
      <sheetName val="2007-2015"/>
    </sheetNames>
    <sheetDataSet>
      <sheetData sheetId="0">
        <row r="7">
          <cell r="W7">
            <v>118.801</v>
          </cell>
        </row>
        <row r="8">
          <cell r="W8">
            <v>4019189.4303199998</v>
          </cell>
        </row>
        <row r="10">
          <cell r="W10">
            <v>7451.83</v>
          </cell>
        </row>
        <row r="11">
          <cell r="W11">
            <v>0.255</v>
          </cell>
        </row>
        <row r="12">
          <cell r="W12">
            <v>0</v>
          </cell>
        </row>
        <row r="15">
          <cell r="W15">
            <v>3833809.31226</v>
          </cell>
        </row>
        <row r="16">
          <cell r="W16">
            <v>177830.03305999999</v>
          </cell>
        </row>
        <row r="17">
          <cell r="W17">
            <v>98</v>
          </cell>
        </row>
        <row r="18">
          <cell r="W18">
            <v>0</v>
          </cell>
        </row>
        <row r="19">
          <cell r="W19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2">
          <cell r="W32">
            <v>1.294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69997.87083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219911.33932</v>
          </cell>
        </row>
        <row r="44">
          <cell r="W44">
            <v>0</v>
          </cell>
        </row>
        <row r="47">
          <cell r="W47">
            <v>2762.5095299999998</v>
          </cell>
        </row>
        <row r="48">
          <cell r="W48">
            <v>2084.1769899999999</v>
          </cell>
        </row>
        <row r="49">
          <cell r="W49">
            <v>9861.3039900000003</v>
          </cell>
        </row>
        <row r="50">
          <cell r="W50">
            <v>0</v>
          </cell>
        </row>
        <row r="51">
          <cell r="W51">
            <v>0</v>
          </cell>
        </row>
        <row r="57">
          <cell r="W57">
            <v>0</v>
          </cell>
        </row>
        <row r="58">
          <cell r="W58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258781.46234999999</v>
          </cell>
        </row>
        <row r="73">
          <cell r="W73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94165.467130000005</v>
          </cell>
        </row>
        <row r="84">
          <cell r="W84">
            <v>0</v>
          </cell>
        </row>
        <row r="85">
          <cell r="W85">
            <v>0</v>
          </cell>
        </row>
        <row r="87">
          <cell r="W87">
            <v>9769.9557199999999</v>
          </cell>
        </row>
        <row r="88">
          <cell r="W88">
            <v>160835.55304</v>
          </cell>
        </row>
        <row r="94">
          <cell r="W94">
            <v>3204423.7022399995</v>
          </cell>
        </row>
        <row r="95">
          <cell r="W95">
            <v>670624.48914999992</v>
          </cell>
        </row>
        <row r="96">
          <cell r="W96">
            <v>3875048.1913899994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204.05742000000001</v>
          </cell>
        </row>
        <row r="105">
          <cell r="W105">
            <v>215731.77835000001</v>
          </cell>
        </row>
        <row r="106">
          <cell r="W106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2988487.8664699998</v>
          </cell>
        </row>
        <row r="116">
          <cell r="W116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9">
          <cell r="W129">
            <v>0</v>
          </cell>
        </row>
        <row r="130">
          <cell r="W130">
            <v>0</v>
          </cell>
        </row>
        <row r="131">
          <cell r="W131">
            <v>670482.75257999997</v>
          </cell>
        </row>
        <row r="132">
          <cell r="W132">
            <v>0</v>
          </cell>
        </row>
        <row r="133">
          <cell r="W133">
            <v>141.73657</v>
          </cell>
        </row>
        <row r="135">
          <cell r="W135">
            <v>890.04376999999999</v>
          </cell>
        </row>
        <row r="136">
          <cell r="W136">
            <v>255459.20958999998</v>
          </cell>
        </row>
        <row r="138">
          <cell r="W138">
            <v>716081.71995000006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- 2021"/>
      <sheetName val="2007 - 2015"/>
    </sheetNames>
    <sheetDataSet>
      <sheetData sheetId="0">
        <row r="7">
          <cell r="X7">
            <v>83798.491519999996</v>
          </cell>
        </row>
        <row r="8">
          <cell r="X8">
            <v>5299904.0544700008</v>
          </cell>
        </row>
        <row r="10">
          <cell r="X10">
            <v>88963.964460000003</v>
          </cell>
        </row>
        <row r="11">
          <cell r="X11">
            <v>27251.392</v>
          </cell>
        </row>
        <row r="12">
          <cell r="X12">
            <v>0</v>
          </cell>
        </row>
        <row r="15">
          <cell r="X15">
            <v>3514280.6398900002</v>
          </cell>
        </row>
        <row r="16">
          <cell r="X16">
            <v>1668118.02712</v>
          </cell>
        </row>
        <row r="17">
          <cell r="X17">
            <v>1290.0309999999999</v>
          </cell>
        </row>
        <row r="18">
          <cell r="X18">
            <v>0</v>
          </cell>
        </row>
        <row r="19">
          <cell r="X19">
            <v>0</v>
          </cell>
        </row>
        <row r="23">
          <cell r="X23">
            <v>0</v>
          </cell>
        </row>
        <row r="24">
          <cell r="X24">
            <v>0</v>
          </cell>
        </row>
        <row r="25">
          <cell r="X25">
            <v>0</v>
          </cell>
        </row>
        <row r="26">
          <cell r="X26">
            <v>0</v>
          </cell>
        </row>
        <row r="27">
          <cell r="X27">
            <v>0</v>
          </cell>
        </row>
        <row r="28">
          <cell r="X28">
            <v>0</v>
          </cell>
        </row>
        <row r="29">
          <cell r="X29">
            <v>0</v>
          </cell>
        </row>
        <row r="32">
          <cell r="X32">
            <v>616842.76300000004</v>
          </cell>
        </row>
        <row r="33">
          <cell r="X33">
            <v>204427.56779</v>
          </cell>
        </row>
        <row r="34">
          <cell r="X34">
            <v>253155.53638999999</v>
          </cell>
        </row>
        <row r="35">
          <cell r="X35">
            <v>41421.290209999999</v>
          </cell>
        </row>
        <row r="36">
          <cell r="X36">
            <v>3442682.6329899998</v>
          </cell>
        </row>
        <row r="40">
          <cell r="X40">
            <v>100</v>
          </cell>
        </row>
        <row r="41">
          <cell r="X41">
            <v>0</v>
          </cell>
        </row>
        <row r="42">
          <cell r="X42">
            <v>0</v>
          </cell>
        </row>
        <row r="43">
          <cell r="X43">
            <v>17490.103429999999</v>
          </cell>
        </row>
        <row r="44">
          <cell r="X44">
            <v>0</v>
          </cell>
        </row>
        <row r="47">
          <cell r="X47">
            <v>77623</v>
          </cell>
        </row>
        <row r="48">
          <cell r="X48">
            <v>0</v>
          </cell>
        </row>
        <row r="49">
          <cell r="X49">
            <v>18.09188</v>
          </cell>
        </row>
        <row r="50">
          <cell r="X50">
            <v>0</v>
          </cell>
        </row>
        <row r="51">
          <cell r="X51">
            <v>0</v>
          </cell>
        </row>
        <row r="57">
          <cell r="X57">
            <v>222705.81</v>
          </cell>
        </row>
        <row r="58">
          <cell r="X58">
            <v>42314.561999999998</v>
          </cell>
        </row>
        <row r="60">
          <cell r="X60">
            <v>272289.45166000002</v>
          </cell>
        </row>
        <row r="61">
          <cell r="X61">
            <v>154506.55016000001</v>
          </cell>
        </row>
        <row r="62">
          <cell r="X62">
            <v>873318.80192999996</v>
          </cell>
        </row>
        <row r="65">
          <cell r="X65">
            <v>0</v>
          </cell>
        </row>
        <row r="66">
          <cell r="X66">
            <v>0.75631000000000004</v>
          </cell>
        </row>
        <row r="67">
          <cell r="X67">
            <v>0</v>
          </cell>
        </row>
        <row r="69">
          <cell r="X69">
            <v>2916.66336</v>
          </cell>
        </row>
        <row r="70">
          <cell r="X70">
            <v>1668.1379999999999</v>
          </cell>
        </row>
        <row r="71">
          <cell r="X71">
            <v>0</v>
          </cell>
        </row>
        <row r="72">
          <cell r="X72">
            <v>10747.97013</v>
          </cell>
        </row>
        <row r="73">
          <cell r="X73">
            <v>3378.3187600000001</v>
          </cell>
        </row>
        <row r="75">
          <cell r="X75">
            <v>2350969.7376000001</v>
          </cell>
        </row>
        <row r="76">
          <cell r="X76">
            <v>68877.054220000005</v>
          </cell>
        </row>
        <row r="77">
          <cell r="X77">
            <v>4519.9509600000001</v>
          </cell>
        </row>
        <row r="78">
          <cell r="X78">
            <v>244812.03023999999</v>
          </cell>
        </row>
        <row r="81">
          <cell r="X81">
            <v>35911.846669999999</v>
          </cell>
        </row>
        <row r="82">
          <cell r="X82">
            <v>0.22600000000000001</v>
          </cell>
        </row>
        <row r="83">
          <cell r="X83">
            <v>54406.371720000003</v>
          </cell>
        </row>
        <row r="84">
          <cell r="X84">
            <v>680504.92854999995</v>
          </cell>
        </row>
        <row r="85">
          <cell r="X85">
            <v>531591.05579999997</v>
          </cell>
        </row>
        <row r="87">
          <cell r="X87">
            <v>204612.67227000001</v>
          </cell>
        </row>
        <row r="88">
          <cell r="X88">
            <v>153485.82728</v>
          </cell>
        </row>
        <row r="94">
          <cell r="X94">
            <v>10478234.521599999</v>
          </cell>
        </row>
        <row r="95">
          <cell r="X95">
            <v>3330891.8584400001</v>
          </cell>
        </row>
        <row r="96">
          <cell r="X96">
            <v>13809126.380039999</v>
          </cell>
        </row>
        <row r="99">
          <cell r="X99">
            <v>31314.808059999999</v>
          </cell>
        </row>
        <row r="100">
          <cell r="X100">
            <v>155455.81946999999</v>
          </cell>
        </row>
        <row r="101">
          <cell r="X101">
            <v>1625196.8439100001</v>
          </cell>
        </row>
        <row r="102">
          <cell r="X102">
            <v>2940</v>
          </cell>
        </row>
        <row r="103">
          <cell r="X103">
            <v>51414.119449999998</v>
          </cell>
        </row>
        <row r="104">
          <cell r="X104">
            <v>58532.012260000003</v>
          </cell>
        </row>
        <row r="105">
          <cell r="X105">
            <v>1778814.8099</v>
          </cell>
        </row>
        <row r="106">
          <cell r="X106">
            <v>561444.31114999996</v>
          </cell>
        </row>
        <row r="109">
          <cell r="X109">
            <v>734.16966000000002</v>
          </cell>
        </row>
        <row r="110">
          <cell r="X110">
            <v>19983.829089999999</v>
          </cell>
        </row>
        <row r="111">
          <cell r="X111">
            <v>1024192.69825</v>
          </cell>
        </row>
        <row r="112">
          <cell r="X112">
            <v>13890.849</v>
          </cell>
        </row>
        <row r="113">
          <cell r="X113">
            <v>60143.548600000002</v>
          </cell>
        </row>
        <row r="114">
          <cell r="X114">
            <v>4211.3227299999999</v>
          </cell>
        </row>
        <row r="115">
          <cell r="X115">
            <v>1462577.56797</v>
          </cell>
        </row>
        <row r="116">
          <cell r="X116">
            <v>1534685.0064399999</v>
          </cell>
        </row>
        <row r="119">
          <cell r="X119">
            <v>657595.22710999998</v>
          </cell>
        </row>
        <row r="120">
          <cell r="X120">
            <v>134291.16677000001</v>
          </cell>
        </row>
        <row r="121">
          <cell r="X121">
            <v>466426.15239</v>
          </cell>
        </row>
        <row r="122">
          <cell r="X122">
            <v>8104.6459999999997</v>
          </cell>
        </row>
        <row r="123">
          <cell r="X123">
            <v>16135.185590000001</v>
          </cell>
        </row>
        <row r="124">
          <cell r="X124">
            <v>8648.9511299999995</v>
          </cell>
        </row>
        <row r="125">
          <cell r="X125">
            <v>284276.79618</v>
          </cell>
        </row>
        <row r="126">
          <cell r="X126">
            <v>517224.68049</v>
          </cell>
        </row>
        <row r="129">
          <cell r="X129">
            <v>1320239.79926</v>
          </cell>
        </row>
        <row r="130">
          <cell r="X130">
            <v>67380.277929999997</v>
          </cell>
        </row>
        <row r="131">
          <cell r="X131">
            <v>589521.95369999995</v>
          </cell>
        </row>
        <row r="132">
          <cell r="X132">
            <v>670011.63584999996</v>
          </cell>
        </row>
        <row r="133">
          <cell r="X133">
            <v>683738.19169999997</v>
          </cell>
        </row>
        <row r="135">
          <cell r="X135">
            <v>0</v>
          </cell>
        </row>
        <row r="136">
          <cell r="X136">
            <v>269343.01883000002</v>
          </cell>
        </row>
        <row r="138">
          <cell r="X138">
            <v>1872532.8564300002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21"/>
      <sheetName val="2007-2015"/>
    </sheetNames>
    <sheetDataSet>
      <sheetData sheetId="0">
        <row r="7">
          <cell r="X7">
            <v>118.04976000000001</v>
          </cell>
        </row>
        <row r="8">
          <cell r="X8">
            <v>4649194.9504500004</v>
          </cell>
        </row>
        <row r="10">
          <cell r="X10">
            <v>6229.9462999999996</v>
          </cell>
        </row>
        <row r="11">
          <cell r="X11">
            <v>0.255</v>
          </cell>
        </row>
        <row r="12">
          <cell r="X12">
            <v>0</v>
          </cell>
        </row>
        <row r="15">
          <cell r="X15">
            <v>4519020.3692100001</v>
          </cell>
        </row>
        <row r="16">
          <cell r="X16">
            <v>123840.37994</v>
          </cell>
        </row>
        <row r="17">
          <cell r="X17">
            <v>104</v>
          </cell>
        </row>
        <row r="18">
          <cell r="X18">
            <v>0</v>
          </cell>
        </row>
        <row r="19">
          <cell r="X19">
            <v>0</v>
          </cell>
        </row>
        <row r="23">
          <cell r="X23">
            <v>0</v>
          </cell>
        </row>
        <row r="24">
          <cell r="X24">
            <v>0</v>
          </cell>
        </row>
        <row r="25">
          <cell r="X25">
            <v>0</v>
          </cell>
        </row>
        <row r="26">
          <cell r="X26">
            <v>0</v>
          </cell>
        </row>
        <row r="27">
          <cell r="X27">
            <v>0</v>
          </cell>
        </row>
        <row r="28">
          <cell r="X28">
            <v>0</v>
          </cell>
        </row>
        <row r="29">
          <cell r="X29">
            <v>0</v>
          </cell>
        </row>
        <row r="32">
          <cell r="X32">
            <v>1.294</v>
          </cell>
        </row>
        <row r="33">
          <cell r="X33">
            <v>0</v>
          </cell>
        </row>
        <row r="34">
          <cell r="X34">
            <v>0</v>
          </cell>
        </row>
        <row r="35">
          <cell r="X35">
            <v>0</v>
          </cell>
        </row>
        <row r="36">
          <cell r="X36">
            <v>69991.318060000005</v>
          </cell>
        </row>
        <row r="40">
          <cell r="X40">
            <v>0</v>
          </cell>
        </row>
        <row r="41">
          <cell r="X41">
            <v>0</v>
          </cell>
        </row>
        <row r="42">
          <cell r="X42">
            <v>0</v>
          </cell>
        </row>
        <row r="43">
          <cell r="X43">
            <v>156894.58389000001</v>
          </cell>
        </row>
        <row r="44">
          <cell r="X44">
            <v>0</v>
          </cell>
        </row>
        <row r="47">
          <cell r="X47">
            <v>2929.3847000000001</v>
          </cell>
        </row>
        <row r="48">
          <cell r="X48">
            <v>3549.4617699999999</v>
          </cell>
        </row>
        <row r="49">
          <cell r="X49">
            <v>6767.4874099999997</v>
          </cell>
        </row>
        <row r="50">
          <cell r="X50">
            <v>0</v>
          </cell>
        </row>
        <row r="51">
          <cell r="X51">
            <v>0</v>
          </cell>
        </row>
        <row r="57">
          <cell r="X57">
            <v>0</v>
          </cell>
        </row>
        <row r="58">
          <cell r="X58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592679.93581000005</v>
          </cell>
        </row>
        <row r="73">
          <cell r="X73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122545.11497</v>
          </cell>
        </row>
        <row r="84">
          <cell r="X84">
            <v>0</v>
          </cell>
        </row>
        <row r="85">
          <cell r="X85">
            <v>0</v>
          </cell>
        </row>
        <row r="87">
          <cell r="X87">
            <v>9748.1374599999999</v>
          </cell>
        </row>
        <row r="88">
          <cell r="X88">
            <v>162585.65818999999</v>
          </cell>
        </row>
        <row r="94">
          <cell r="X94">
            <v>4332187.3550500004</v>
          </cell>
        </row>
        <row r="95">
          <cell r="X95">
            <v>532301.49635999999</v>
          </cell>
        </row>
        <row r="96">
          <cell r="X96">
            <v>4864488.8514100006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197.37988000000001</v>
          </cell>
        </row>
        <row r="105">
          <cell r="X105">
            <v>238112.26154000001</v>
          </cell>
        </row>
        <row r="106">
          <cell r="X106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4093877.7136300001</v>
          </cell>
        </row>
        <row r="116">
          <cell r="X116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9">
          <cell r="X129">
            <v>0</v>
          </cell>
        </row>
        <row r="130">
          <cell r="X130">
            <v>98.984160000000003</v>
          </cell>
        </row>
        <row r="131">
          <cell r="X131">
            <v>532202.5122</v>
          </cell>
        </row>
        <row r="132">
          <cell r="X132">
            <v>0</v>
          </cell>
        </row>
        <row r="133">
          <cell r="X133">
            <v>0</v>
          </cell>
        </row>
        <row r="135">
          <cell r="X135">
            <v>490.00540000000001</v>
          </cell>
        </row>
        <row r="136">
          <cell r="X136">
            <v>186516.81636</v>
          </cell>
        </row>
        <row r="138">
          <cell r="X138">
            <v>725509.44830000005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- 2021"/>
      <sheetName val="2007 - 2015"/>
    </sheetNames>
    <sheetDataSet>
      <sheetData sheetId="0">
        <row r="7">
          <cell r="Y7">
            <v>78514.232730000003</v>
          </cell>
        </row>
        <row r="8">
          <cell r="Y8">
            <v>4500151.4103399999</v>
          </cell>
        </row>
        <row r="10">
          <cell r="Y10">
            <v>44512.139730000003</v>
          </cell>
        </row>
        <row r="11">
          <cell r="Y11">
            <v>29808.771000000001</v>
          </cell>
        </row>
        <row r="12">
          <cell r="Y12">
            <v>0</v>
          </cell>
        </row>
        <row r="15">
          <cell r="Y15">
            <v>3053995.0058900001</v>
          </cell>
        </row>
        <row r="16">
          <cell r="Y16">
            <v>1369472.5687200001</v>
          </cell>
        </row>
        <row r="17">
          <cell r="Y17">
            <v>2362.9250000000002</v>
          </cell>
        </row>
        <row r="18">
          <cell r="Y18">
            <v>0</v>
          </cell>
        </row>
        <row r="19">
          <cell r="Y19">
            <v>0</v>
          </cell>
        </row>
        <row r="23">
          <cell r="Y23">
            <v>0</v>
          </cell>
        </row>
        <row r="24">
          <cell r="Y24">
            <v>0</v>
          </cell>
        </row>
        <row r="25">
          <cell r="Y25">
            <v>0</v>
          </cell>
        </row>
        <row r="26">
          <cell r="Y26">
            <v>0</v>
          </cell>
        </row>
        <row r="27">
          <cell r="Y27">
            <v>0</v>
          </cell>
        </row>
        <row r="28">
          <cell r="Y28">
            <v>0</v>
          </cell>
        </row>
        <row r="29">
          <cell r="Y29">
            <v>0</v>
          </cell>
        </row>
        <row r="32">
          <cell r="Y32">
            <v>597343.28300000005</v>
          </cell>
        </row>
        <row r="33">
          <cell r="Y33">
            <v>192951.09202000001</v>
          </cell>
        </row>
        <row r="34">
          <cell r="Y34">
            <v>320898.82218999998</v>
          </cell>
        </row>
        <row r="35">
          <cell r="Y35">
            <v>98369.020220000006</v>
          </cell>
        </row>
        <row r="36">
          <cell r="Y36">
            <v>3634443.52152</v>
          </cell>
        </row>
        <row r="40">
          <cell r="Y40">
            <v>100</v>
          </cell>
        </row>
        <row r="41">
          <cell r="Y41">
            <v>0</v>
          </cell>
        </row>
        <row r="42">
          <cell r="Y42">
            <v>0</v>
          </cell>
        </row>
        <row r="43">
          <cell r="Y43">
            <v>17356.69843</v>
          </cell>
        </row>
        <row r="44">
          <cell r="Y44">
            <v>0</v>
          </cell>
        </row>
        <row r="47">
          <cell r="Y47">
            <v>77623</v>
          </cell>
        </row>
        <row r="48">
          <cell r="Y48">
            <v>0</v>
          </cell>
        </row>
        <row r="49">
          <cell r="Y49">
            <v>17.272639999999999</v>
          </cell>
        </row>
        <row r="50">
          <cell r="Y50">
            <v>0</v>
          </cell>
        </row>
        <row r="51">
          <cell r="Y51">
            <v>0</v>
          </cell>
        </row>
        <row r="57">
          <cell r="Y57">
            <v>215265.8235</v>
          </cell>
        </row>
        <row r="58">
          <cell r="Y58">
            <v>41526.963199999998</v>
          </cell>
        </row>
        <row r="60">
          <cell r="Y60">
            <v>243251.31297999999</v>
          </cell>
        </row>
        <row r="61">
          <cell r="Y61">
            <v>145321.57219000001</v>
          </cell>
        </row>
        <row r="62">
          <cell r="Y62">
            <v>951616.22302000003</v>
          </cell>
        </row>
        <row r="65">
          <cell r="Y65">
            <v>0</v>
          </cell>
        </row>
        <row r="66">
          <cell r="Y66">
            <v>0.75988</v>
          </cell>
        </row>
        <row r="67">
          <cell r="Y67">
            <v>0</v>
          </cell>
        </row>
        <row r="69">
          <cell r="Y69">
            <v>4530.1396000000004</v>
          </cell>
        </row>
        <row r="70">
          <cell r="Y70">
            <v>1633.9359999999999</v>
          </cell>
        </row>
        <row r="71">
          <cell r="Y71">
            <v>0</v>
          </cell>
        </row>
        <row r="72">
          <cell r="Y72">
            <v>17427.001690000001</v>
          </cell>
        </row>
        <row r="73">
          <cell r="Y73">
            <v>3438.3403899999998</v>
          </cell>
        </row>
        <row r="75">
          <cell r="Y75">
            <v>2420346.3556400002</v>
          </cell>
        </row>
        <row r="76">
          <cell r="Y76">
            <v>71089.593070000003</v>
          </cell>
        </row>
        <row r="77">
          <cell r="Y77">
            <v>4186.85743</v>
          </cell>
        </row>
        <row r="78">
          <cell r="Y78">
            <v>260542.32915000001</v>
          </cell>
        </row>
        <row r="81">
          <cell r="Y81">
            <v>33688.75</v>
          </cell>
        </row>
        <row r="82">
          <cell r="Y82">
            <v>0</v>
          </cell>
        </row>
        <row r="83">
          <cell r="Y83">
            <v>80117.494919999997</v>
          </cell>
        </row>
        <row r="84">
          <cell r="Y84">
            <v>677296.88437999994</v>
          </cell>
        </row>
        <row r="85">
          <cell r="Y85">
            <v>529216.82169000001</v>
          </cell>
        </row>
        <row r="87">
          <cell r="Y87">
            <v>193645.16583000001</v>
          </cell>
        </row>
        <row r="88">
          <cell r="Y88">
            <v>181604.53409999999</v>
          </cell>
        </row>
        <row r="94">
          <cell r="Y94">
            <v>9933671.9444899987</v>
          </cell>
        </row>
        <row r="95">
          <cell r="Y95">
            <v>3525458.5128100002</v>
          </cell>
        </row>
        <row r="96">
          <cell r="Y96">
            <v>13459130.4573</v>
          </cell>
        </row>
        <row r="99">
          <cell r="Y99">
            <v>45966.815329999998</v>
          </cell>
        </row>
        <row r="100">
          <cell r="Y100">
            <v>134331.8432</v>
          </cell>
        </row>
        <row r="101">
          <cell r="Y101">
            <v>1706838.4327100001</v>
          </cell>
        </row>
        <row r="102">
          <cell r="Y102">
            <v>5.8869999999999996</v>
          </cell>
        </row>
        <row r="103">
          <cell r="Y103">
            <v>47658.737550000005</v>
          </cell>
        </row>
        <row r="104">
          <cell r="Y104">
            <v>60057.723539999999</v>
          </cell>
        </row>
        <row r="105">
          <cell r="Y105">
            <v>1449716.4084099999</v>
          </cell>
        </row>
        <row r="106">
          <cell r="Y106">
            <v>593377.83242999995</v>
          </cell>
        </row>
        <row r="109">
          <cell r="Y109">
            <v>869.27436</v>
          </cell>
        </row>
        <row r="110">
          <cell r="Y110">
            <v>10234.45664</v>
          </cell>
        </row>
        <row r="111">
          <cell r="Y111">
            <v>963355.52275999996</v>
          </cell>
        </row>
        <row r="112">
          <cell r="Y112">
            <v>11480.579</v>
          </cell>
        </row>
        <row r="113">
          <cell r="Y113">
            <v>46158.733189999999</v>
          </cell>
        </row>
        <row r="114">
          <cell r="Y114">
            <v>3515.2684800000002</v>
          </cell>
        </row>
        <row r="115">
          <cell r="Y115">
            <v>1324661.7132699999</v>
          </cell>
        </row>
        <row r="116">
          <cell r="Y116">
            <v>1552188.1747300001</v>
          </cell>
        </row>
        <row r="119">
          <cell r="Y119">
            <v>564663.39925999998</v>
          </cell>
        </row>
        <row r="120">
          <cell r="Y120">
            <v>158726.48365000001</v>
          </cell>
        </row>
        <row r="121">
          <cell r="Y121">
            <v>404288.38173000002</v>
          </cell>
        </row>
        <row r="122">
          <cell r="Y122">
            <v>8112.1229999999996</v>
          </cell>
        </row>
        <row r="123">
          <cell r="Y123">
            <v>14129.12347</v>
          </cell>
        </row>
        <row r="124">
          <cell r="Y124">
            <v>8841.9408199999998</v>
          </cell>
        </row>
        <row r="125">
          <cell r="Y125">
            <v>310836.69998999999</v>
          </cell>
        </row>
        <row r="126">
          <cell r="Y126">
            <v>513656.38997000002</v>
          </cell>
        </row>
        <row r="129">
          <cell r="Y129">
            <v>1338642.1513100001</v>
          </cell>
        </row>
        <row r="130">
          <cell r="Y130">
            <v>64243.924749999998</v>
          </cell>
        </row>
        <row r="131">
          <cell r="Y131">
            <v>656739.40706999996</v>
          </cell>
        </row>
        <row r="132">
          <cell r="Y132">
            <v>750659.86728999997</v>
          </cell>
        </row>
        <row r="133">
          <cell r="Y133">
            <v>715173.16238999995</v>
          </cell>
        </row>
        <row r="135">
          <cell r="Y135">
            <v>486.59399999999999</v>
          </cell>
        </row>
        <row r="136">
          <cell r="Y136">
            <v>247988.32261</v>
          </cell>
        </row>
        <row r="138">
          <cell r="Y138">
            <v>1885909.8378400002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21"/>
      <sheetName val="2007-2015"/>
    </sheetNames>
    <sheetDataSet>
      <sheetData sheetId="0">
        <row r="7">
          <cell r="Y7">
            <v>118.04976000000001</v>
          </cell>
        </row>
        <row r="8">
          <cell r="Y8">
            <v>5530822.4994800007</v>
          </cell>
        </row>
        <row r="10">
          <cell r="Y10">
            <v>8990.0505200000007</v>
          </cell>
        </row>
        <row r="11">
          <cell r="Y11">
            <v>0</v>
          </cell>
        </row>
        <row r="12">
          <cell r="Y12">
            <v>0</v>
          </cell>
        </row>
        <row r="15">
          <cell r="Y15">
            <v>3640152.8640100001</v>
          </cell>
        </row>
        <row r="16">
          <cell r="Y16">
            <v>1881570.6473399999</v>
          </cell>
        </row>
        <row r="17">
          <cell r="Y17">
            <v>108.93761000000001</v>
          </cell>
        </row>
        <row r="18">
          <cell r="Y18">
            <v>0</v>
          </cell>
        </row>
        <row r="19">
          <cell r="Y19">
            <v>0</v>
          </cell>
        </row>
        <row r="23">
          <cell r="Y23">
            <v>0</v>
          </cell>
        </row>
        <row r="24">
          <cell r="Y24">
            <v>0</v>
          </cell>
        </row>
        <row r="25">
          <cell r="Y25">
            <v>0</v>
          </cell>
        </row>
        <row r="26">
          <cell r="Y26">
            <v>0</v>
          </cell>
        </row>
        <row r="27">
          <cell r="Y27">
            <v>0</v>
          </cell>
        </row>
        <row r="28">
          <cell r="Y28">
            <v>0</v>
          </cell>
        </row>
        <row r="29">
          <cell r="Y29">
            <v>0</v>
          </cell>
        </row>
        <row r="32">
          <cell r="Y32">
            <v>1.294</v>
          </cell>
        </row>
        <row r="33">
          <cell r="Y33">
            <v>0</v>
          </cell>
        </row>
        <row r="34">
          <cell r="Y34">
            <v>0</v>
          </cell>
        </row>
        <row r="35">
          <cell r="Y35">
            <v>0</v>
          </cell>
        </row>
        <row r="36">
          <cell r="Y36">
            <v>69999.83958</v>
          </cell>
        </row>
        <row r="40">
          <cell r="Y40">
            <v>0</v>
          </cell>
        </row>
        <row r="41">
          <cell r="Y41">
            <v>0</v>
          </cell>
        </row>
        <row r="42">
          <cell r="Y42">
            <v>0</v>
          </cell>
        </row>
        <row r="43">
          <cell r="Y43">
            <v>139469.18119</v>
          </cell>
        </row>
        <row r="44">
          <cell r="Y44">
            <v>0</v>
          </cell>
        </row>
        <row r="47">
          <cell r="Y47">
            <v>6996.43559</v>
          </cell>
        </row>
        <row r="48">
          <cell r="Y48">
            <v>6594.4123099999997</v>
          </cell>
        </row>
        <row r="49">
          <cell r="Y49">
            <v>8829.9673000000003</v>
          </cell>
        </row>
        <row r="50">
          <cell r="Y50">
            <v>0</v>
          </cell>
        </row>
        <row r="51">
          <cell r="Y51">
            <v>0</v>
          </cell>
        </row>
        <row r="57">
          <cell r="Y57">
            <v>0</v>
          </cell>
        </row>
        <row r="58">
          <cell r="Y58">
            <v>0</v>
          </cell>
        </row>
        <row r="60">
          <cell r="Y60">
            <v>0</v>
          </cell>
        </row>
        <row r="61">
          <cell r="Y61">
            <v>0</v>
          </cell>
        </row>
        <row r="62">
          <cell r="Y62">
            <v>0</v>
          </cell>
        </row>
        <row r="65">
          <cell r="Y65">
            <v>0</v>
          </cell>
        </row>
        <row r="66">
          <cell r="Y66">
            <v>0</v>
          </cell>
        </row>
        <row r="67">
          <cell r="Y67">
            <v>0</v>
          </cell>
        </row>
        <row r="69">
          <cell r="Y69">
            <v>0</v>
          </cell>
        </row>
        <row r="70">
          <cell r="Y70">
            <v>0</v>
          </cell>
        </row>
        <row r="71">
          <cell r="Y71">
            <v>0</v>
          </cell>
        </row>
        <row r="72">
          <cell r="Y72">
            <v>481267.33162000001</v>
          </cell>
        </row>
        <row r="73">
          <cell r="Y73">
            <v>0</v>
          </cell>
        </row>
        <row r="75">
          <cell r="Y75">
            <v>0</v>
          </cell>
        </row>
        <row r="76">
          <cell r="Y76">
            <v>0</v>
          </cell>
        </row>
        <row r="77">
          <cell r="Y77">
            <v>0</v>
          </cell>
        </row>
        <row r="78">
          <cell r="Y78">
            <v>0</v>
          </cell>
        </row>
        <row r="81">
          <cell r="Y81">
            <v>0</v>
          </cell>
        </row>
        <row r="82">
          <cell r="Y82">
            <v>0</v>
          </cell>
        </row>
        <row r="83">
          <cell r="Y83">
            <v>95652.41042</v>
          </cell>
        </row>
        <row r="84">
          <cell r="Y84">
            <v>0</v>
          </cell>
        </row>
        <row r="85">
          <cell r="Y85">
            <v>0</v>
          </cell>
        </row>
        <row r="87">
          <cell r="Y87">
            <v>9404.6740100000006</v>
          </cell>
        </row>
        <row r="88">
          <cell r="Y88">
            <v>165723.23227000001</v>
          </cell>
        </row>
        <row r="94">
          <cell r="Y94">
            <v>4562892.4545799997</v>
          </cell>
        </row>
        <row r="95">
          <cell r="Y95">
            <v>740210.24819000007</v>
          </cell>
        </row>
        <row r="96">
          <cell r="Y96">
            <v>5303102.7027699994</v>
          </cell>
        </row>
        <row r="99">
          <cell r="Y99">
            <v>0</v>
          </cell>
        </row>
        <row r="100">
          <cell r="Y100">
            <v>0</v>
          </cell>
        </row>
        <row r="101">
          <cell r="Y101">
            <v>0</v>
          </cell>
        </row>
        <row r="102">
          <cell r="Y102">
            <v>0</v>
          </cell>
        </row>
        <row r="103">
          <cell r="Y103">
            <v>0</v>
          </cell>
        </row>
        <row r="104">
          <cell r="Y104">
            <v>191.81707</v>
          </cell>
        </row>
        <row r="105">
          <cell r="Y105">
            <v>260835.96401</v>
          </cell>
        </row>
        <row r="106">
          <cell r="Y106">
            <v>0</v>
          </cell>
        </row>
        <row r="109">
          <cell r="Y109">
            <v>0</v>
          </cell>
        </row>
        <row r="110">
          <cell r="Y110">
            <v>0</v>
          </cell>
        </row>
        <row r="111">
          <cell r="Y111">
            <v>0</v>
          </cell>
        </row>
        <row r="112">
          <cell r="Y112">
            <v>0</v>
          </cell>
        </row>
        <row r="113">
          <cell r="Y113">
            <v>0</v>
          </cell>
        </row>
        <row r="114">
          <cell r="Y114">
            <v>0</v>
          </cell>
        </row>
        <row r="115">
          <cell r="Y115">
            <v>4301864.6734999996</v>
          </cell>
        </row>
        <row r="116">
          <cell r="Y116">
            <v>0</v>
          </cell>
        </row>
        <row r="119">
          <cell r="Y119">
            <v>0</v>
          </cell>
        </row>
        <row r="120">
          <cell r="Y120">
            <v>0</v>
          </cell>
        </row>
        <row r="121">
          <cell r="Y121">
            <v>0</v>
          </cell>
        </row>
        <row r="122">
          <cell r="Y122">
            <v>0</v>
          </cell>
        </row>
        <row r="123">
          <cell r="Y123">
            <v>0</v>
          </cell>
        </row>
        <row r="124">
          <cell r="Y124">
            <v>0</v>
          </cell>
        </row>
        <row r="125">
          <cell r="Y125">
            <v>0</v>
          </cell>
        </row>
        <row r="126">
          <cell r="Y126">
            <v>0</v>
          </cell>
        </row>
        <row r="129">
          <cell r="Y129">
            <v>0</v>
          </cell>
        </row>
        <row r="130">
          <cell r="Y130">
            <v>84.965909999999994</v>
          </cell>
        </row>
        <row r="131">
          <cell r="Y131">
            <v>740125.28228000004</v>
          </cell>
        </row>
        <row r="132">
          <cell r="Y132">
            <v>0</v>
          </cell>
        </row>
        <row r="133">
          <cell r="Y133">
            <v>0</v>
          </cell>
        </row>
        <row r="135">
          <cell r="Y135">
            <v>291663.67838</v>
          </cell>
        </row>
        <row r="136">
          <cell r="Y136">
            <v>174237.99758999998</v>
          </cell>
        </row>
        <row r="138">
          <cell r="Y138">
            <v>745874.94879000005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- 2021"/>
      <sheetName val="2007 - 2015"/>
    </sheetNames>
    <sheetDataSet>
      <sheetData sheetId="0">
        <row r="7">
          <cell r="Z7">
            <v>84079.354749999999</v>
          </cell>
        </row>
        <row r="8">
          <cell r="Z8">
            <v>4267101.6944900006</v>
          </cell>
        </row>
        <row r="10">
          <cell r="Z10">
            <v>59982.153469999997</v>
          </cell>
        </row>
        <row r="11">
          <cell r="Z11">
            <v>70158.061000000002</v>
          </cell>
        </row>
        <row r="12">
          <cell r="Z12">
            <v>0</v>
          </cell>
        </row>
        <row r="15">
          <cell r="Z15">
            <v>2695682.3613900002</v>
          </cell>
        </row>
        <row r="16">
          <cell r="Z16">
            <v>1439107.30363</v>
          </cell>
        </row>
        <row r="17">
          <cell r="Z17">
            <v>2171.8150000000001</v>
          </cell>
        </row>
        <row r="18">
          <cell r="Z18">
            <v>0</v>
          </cell>
        </row>
        <row r="19">
          <cell r="Z19">
            <v>0</v>
          </cell>
        </row>
        <row r="23">
          <cell r="Z23">
            <v>0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28">
          <cell r="Z28">
            <v>0</v>
          </cell>
        </row>
        <row r="29">
          <cell r="Z29">
            <v>0</v>
          </cell>
        </row>
        <row r="32">
          <cell r="Z32">
            <v>603766.76800000004</v>
          </cell>
        </row>
        <row r="33">
          <cell r="Z33">
            <v>188115.02106</v>
          </cell>
        </row>
        <row r="34">
          <cell r="Z34">
            <v>338162.70405</v>
          </cell>
        </row>
        <row r="35">
          <cell r="Z35">
            <v>103270.92507</v>
          </cell>
        </row>
        <row r="36">
          <cell r="Z36">
            <v>3716776.0413099998</v>
          </cell>
        </row>
        <row r="40">
          <cell r="Z40">
            <v>100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16919.872429999999</v>
          </cell>
        </row>
        <row r="44">
          <cell r="Z44">
            <v>0</v>
          </cell>
        </row>
        <row r="47">
          <cell r="Z47">
            <v>77623</v>
          </cell>
        </row>
        <row r="48">
          <cell r="Z48">
            <v>0</v>
          </cell>
        </row>
        <row r="49">
          <cell r="Z49">
            <v>17.272639999999999</v>
          </cell>
        </row>
        <row r="50">
          <cell r="Z50">
            <v>0</v>
          </cell>
        </row>
        <row r="51">
          <cell r="Z51">
            <v>149746.609</v>
          </cell>
        </row>
        <row r="57">
          <cell r="Z57">
            <v>210670.08111999999</v>
          </cell>
        </row>
        <row r="58">
          <cell r="Z58">
            <v>35694.495999999999</v>
          </cell>
        </row>
        <row r="60">
          <cell r="Z60">
            <v>248764.14240000001</v>
          </cell>
        </row>
        <row r="61">
          <cell r="Z61">
            <v>151569.32816</v>
          </cell>
        </row>
        <row r="62">
          <cell r="Z62">
            <v>974898.83725999994</v>
          </cell>
        </row>
        <row r="65">
          <cell r="Z65">
            <v>0</v>
          </cell>
        </row>
        <row r="66">
          <cell r="Z66">
            <v>0.77227000000000001</v>
          </cell>
        </row>
        <row r="67">
          <cell r="Z67">
            <v>0</v>
          </cell>
        </row>
        <row r="69">
          <cell r="Z69">
            <v>4435.3787300000004</v>
          </cell>
        </row>
        <row r="70">
          <cell r="Z70">
            <v>0</v>
          </cell>
        </row>
        <row r="71">
          <cell r="Z71">
            <v>2.358E-2</v>
          </cell>
        </row>
        <row r="72">
          <cell r="Z72">
            <v>16854.536349999998</v>
          </cell>
        </row>
        <row r="73">
          <cell r="Z73">
            <v>3649.37851</v>
          </cell>
        </row>
        <row r="75">
          <cell r="Z75">
            <v>2439740.5734000001</v>
          </cell>
        </row>
        <row r="76">
          <cell r="Z76">
            <v>70035.704530000003</v>
          </cell>
        </row>
        <row r="77">
          <cell r="Z77">
            <v>3961.0201299999999</v>
          </cell>
        </row>
        <row r="78">
          <cell r="Z78">
            <v>255359.47112999999</v>
          </cell>
        </row>
        <row r="81">
          <cell r="Z81">
            <v>34051.517379999998</v>
          </cell>
        </row>
        <row r="82">
          <cell r="Z82">
            <v>0</v>
          </cell>
        </row>
        <row r="83">
          <cell r="Z83">
            <v>74602.748760000002</v>
          </cell>
        </row>
        <row r="84">
          <cell r="Z84">
            <v>603388.88624999998</v>
          </cell>
        </row>
        <row r="85">
          <cell r="Z85">
            <v>513114.94125999999</v>
          </cell>
        </row>
        <row r="87">
          <cell r="Z87">
            <v>190765.71664999999</v>
          </cell>
        </row>
        <row r="88">
          <cell r="Z88">
            <v>168406.72560000001</v>
          </cell>
        </row>
        <row r="94">
          <cell r="Z94">
            <v>10183996.5944</v>
          </cell>
        </row>
        <row r="95">
          <cell r="Z95">
            <v>3187548.8541299999</v>
          </cell>
        </row>
        <row r="96">
          <cell r="Z96">
            <v>13371545.44853</v>
          </cell>
        </row>
        <row r="99">
          <cell r="Z99">
            <v>70617.477369999993</v>
          </cell>
        </row>
        <row r="100">
          <cell r="Z100">
            <v>131891.24554999999</v>
          </cell>
        </row>
        <row r="101">
          <cell r="Z101">
            <v>1684814.01675</v>
          </cell>
        </row>
        <row r="102">
          <cell r="Z102">
            <v>5.8979999999999997</v>
          </cell>
        </row>
        <row r="103">
          <cell r="Z103">
            <v>64068.510049999997</v>
          </cell>
        </row>
        <row r="104">
          <cell r="Z104">
            <v>63818.669959999999</v>
          </cell>
        </row>
        <row r="105">
          <cell r="Z105">
            <v>1505467.4196599999</v>
          </cell>
        </row>
        <row r="106">
          <cell r="Z106">
            <v>617595.17160999996</v>
          </cell>
        </row>
        <row r="109">
          <cell r="Z109">
            <v>320.62484999999998</v>
          </cell>
        </row>
        <row r="110">
          <cell r="Z110">
            <v>11184.839400000001</v>
          </cell>
        </row>
        <row r="111">
          <cell r="Z111">
            <v>987858.35953999998</v>
          </cell>
        </row>
        <row r="112">
          <cell r="Z112">
            <v>16270.995999999999</v>
          </cell>
        </row>
        <row r="113">
          <cell r="Z113">
            <v>40117.766280000003</v>
          </cell>
        </row>
        <row r="114">
          <cell r="Z114">
            <v>3414.9483100000002</v>
          </cell>
        </row>
        <row r="115">
          <cell r="Z115">
            <v>1445831.7655799999</v>
          </cell>
        </row>
        <row r="116">
          <cell r="Z116">
            <v>1628945.8690599999</v>
          </cell>
        </row>
        <row r="119">
          <cell r="Z119">
            <v>548574.72849999997</v>
          </cell>
        </row>
        <row r="120">
          <cell r="Z120">
            <v>147862.88542999999</v>
          </cell>
        </row>
        <row r="121">
          <cell r="Z121">
            <v>375625.52982</v>
          </cell>
        </row>
        <row r="122">
          <cell r="Z122">
            <v>8115.2209999999995</v>
          </cell>
        </row>
        <row r="123">
          <cell r="Z123">
            <v>13977.89791</v>
          </cell>
        </row>
        <row r="124">
          <cell r="Z124">
            <v>14857.584290000001</v>
          </cell>
        </row>
        <row r="125">
          <cell r="Z125">
            <v>301005.08445999998</v>
          </cell>
        </row>
        <row r="126">
          <cell r="Z126">
            <v>501754.08502</v>
          </cell>
        </row>
        <row r="129">
          <cell r="Z129">
            <v>1143008.3060300001</v>
          </cell>
        </row>
        <row r="130">
          <cell r="Z130">
            <v>69289.320940000005</v>
          </cell>
        </row>
        <row r="131">
          <cell r="Z131">
            <v>504654.26136</v>
          </cell>
        </row>
        <row r="132">
          <cell r="Z132">
            <v>761501.80156000005</v>
          </cell>
        </row>
        <row r="133">
          <cell r="Z133">
            <v>709095.16423999995</v>
          </cell>
        </row>
        <row r="135">
          <cell r="Z135">
            <v>766.97799999999995</v>
          </cell>
        </row>
        <row r="136">
          <cell r="Z136">
            <v>236145.74583</v>
          </cell>
        </row>
        <row r="138">
          <cell r="Z138">
            <v>1937185.3699099999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8"/>
      <sheetName val="2007-2014"/>
    </sheetNames>
    <sheetDataSet>
      <sheetData sheetId="0">
        <row r="7">
          <cell r="R7">
            <v>121</v>
          </cell>
        </row>
        <row r="8">
          <cell r="R8">
            <v>3365825</v>
          </cell>
        </row>
        <row r="10">
          <cell r="R10">
            <v>45053</v>
          </cell>
        </row>
        <row r="11">
          <cell r="R11">
            <v>70274</v>
          </cell>
        </row>
        <row r="12">
          <cell r="R12">
            <v>0</v>
          </cell>
        </row>
        <row r="15">
          <cell r="R15">
            <v>3203067</v>
          </cell>
        </row>
        <row r="16">
          <cell r="R16">
            <v>47395</v>
          </cell>
        </row>
        <row r="17">
          <cell r="R17">
            <v>36</v>
          </cell>
        </row>
        <row r="18">
          <cell r="R18">
            <v>0</v>
          </cell>
        </row>
        <row r="19">
          <cell r="R19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7">
          <cell r="R27">
            <v>0</v>
          </cell>
        </row>
        <row r="28">
          <cell r="R28">
            <v>67732</v>
          </cell>
        </row>
        <row r="29">
          <cell r="R29">
            <v>0</v>
          </cell>
        </row>
        <row r="32">
          <cell r="R32">
            <v>164243</v>
          </cell>
        </row>
        <row r="33">
          <cell r="R33">
            <v>59852</v>
          </cell>
        </row>
        <row r="34">
          <cell r="R34">
            <v>40409</v>
          </cell>
        </row>
        <row r="35">
          <cell r="R35">
            <v>0</v>
          </cell>
        </row>
        <row r="36">
          <cell r="R36">
            <v>5844</v>
          </cell>
        </row>
        <row r="38">
          <cell r="R38">
            <v>265</v>
          </cell>
        </row>
        <row r="41">
          <cell r="R41">
            <v>0</v>
          </cell>
        </row>
        <row r="42">
          <cell r="R42">
            <v>0</v>
          </cell>
        </row>
        <row r="43">
          <cell r="R43">
            <v>0</v>
          </cell>
        </row>
        <row r="47">
          <cell r="R47">
            <v>265</v>
          </cell>
        </row>
        <row r="48">
          <cell r="R48">
            <v>0</v>
          </cell>
        </row>
        <row r="49">
          <cell r="R49">
            <v>0</v>
          </cell>
        </row>
        <row r="50">
          <cell r="R50">
            <v>0</v>
          </cell>
        </row>
        <row r="51">
          <cell r="R51">
            <v>0</v>
          </cell>
        </row>
        <row r="57">
          <cell r="R57">
            <v>0</v>
          </cell>
        </row>
        <row r="58">
          <cell r="R58">
            <v>0</v>
          </cell>
        </row>
        <row r="59">
          <cell r="R59">
            <v>0</v>
          </cell>
        </row>
        <row r="60"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64906</v>
          </cell>
        </row>
        <row r="64">
          <cell r="R64">
            <v>0</v>
          </cell>
        </row>
        <row r="65">
          <cell r="R65">
            <v>0</v>
          </cell>
        </row>
        <row r="66">
          <cell r="R66">
            <v>0</v>
          </cell>
        </row>
        <row r="67">
          <cell r="R67">
            <v>0</v>
          </cell>
        </row>
        <row r="68">
          <cell r="R68">
            <v>64906</v>
          </cell>
        </row>
        <row r="69">
          <cell r="R69">
            <v>0</v>
          </cell>
        </row>
        <row r="70">
          <cell r="R70">
            <v>0</v>
          </cell>
        </row>
        <row r="71">
          <cell r="R71">
            <v>0</v>
          </cell>
        </row>
        <row r="72">
          <cell r="R72">
            <v>64906</v>
          </cell>
        </row>
        <row r="73">
          <cell r="R73">
            <v>0</v>
          </cell>
        </row>
        <row r="74">
          <cell r="R74">
            <v>0</v>
          </cell>
        </row>
        <row r="75">
          <cell r="R75">
            <v>0</v>
          </cell>
        </row>
        <row r="76">
          <cell r="R76">
            <v>0</v>
          </cell>
        </row>
        <row r="77">
          <cell r="R77">
            <v>0</v>
          </cell>
        </row>
        <row r="78">
          <cell r="R78">
            <v>0</v>
          </cell>
        </row>
        <row r="81">
          <cell r="R81">
            <v>0</v>
          </cell>
        </row>
        <row r="82">
          <cell r="R82">
            <v>0</v>
          </cell>
        </row>
        <row r="83">
          <cell r="R83">
            <v>26162</v>
          </cell>
        </row>
        <row r="84">
          <cell r="R84">
            <v>2190344</v>
          </cell>
        </row>
        <row r="85">
          <cell r="R85">
            <v>674223</v>
          </cell>
        </row>
        <row r="87">
          <cell r="R87">
            <v>17203</v>
          </cell>
        </row>
        <row r="88">
          <cell r="R88">
            <v>128634</v>
          </cell>
        </row>
        <row r="94">
          <cell r="R94">
            <v>2667935</v>
          </cell>
        </row>
        <row r="95">
          <cell r="R95">
            <v>2156224</v>
          </cell>
        </row>
        <row r="96">
          <cell r="R96">
            <v>4824159</v>
          </cell>
        </row>
        <row r="99">
          <cell r="R99">
            <v>0</v>
          </cell>
        </row>
        <row r="100">
          <cell r="R100">
            <v>0</v>
          </cell>
        </row>
        <row r="101">
          <cell r="R101">
            <v>0</v>
          </cell>
        </row>
        <row r="102">
          <cell r="R102">
            <v>0</v>
          </cell>
        </row>
        <row r="103">
          <cell r="R103">
            <v>0</v>
          </cell>
        </row>
        <row r="104">
          <cell r="R104">
            <v>323</v>
          </cell>
        </row>
        <row r="105">
          <cell r="R105">
            <v>234546</v>
          </cell>
        </row>
        <row r="106">
          <cell r="R106">
            <v>0</v>
          </cell>
        </row>
        <row r="109">
          <cell r="R109">
            <v>0</v>
          </cell>
        </row>
        <row r="110">
          <cell r="R110">
            <v>0</v>
          </cell>
        </row>
        <row r="111">
          <cell r="R111">
            <v>0</v>
          </cell>
        </row>
        <row r="112">
          <cell r="R112">
            <v>0</v>
          </cell>
        </row>
        <row r="113">
          <cell r="R113">
            <v>0</v>
          </cell>
        </row>
        <row r="114">
          <cell r="R114">
            <v>0</v>
          </cell>
        </row>
        <row r="115">
          <cell r="R115">
            <v>2314134</v>
          </cell>
        </row>
        <row r="116">
          <cell r="R116">
            <v>0</v>
          </cell>
        </row>
        <row r="119">
          <cell r="R119">
            <v>0</v>
          </cell>
        </row>
        <row r="120">
          <cell r="R120">
            <v>0</v>
          </cell>
        </row>
        <row r="121">
          <cell r="R121">
            <v>0</v>
          </cell>
        </row>
        <row r="122">
          <cell r="R122">
            <v>0</v>
          </cell>
        </row>
        <row r="123">
          <cell r="R123">
            <v>0</v>
          </cell>
        </row>
        <row r="124">
          <cell r="R124">
            <v>0</v>
          </cell>
        </row>
        <row r="125">
          <cell r="R125">
            <v>118932</v>
          </cell>
        </row>
        <row r="126">
          <cell r="R126">
            <v>0</v>
          </cell>
        </row>
        <row r="129">
          <cell r="R129">
            <v>0</v>
          </cell>
        </row>
        <row r="130">
          <cell r="R130">
            <v>1889</v>
          </cell>
        </row>
        <row r="131">
          <cell r="R131">
            <v>481967</v>
          </cell>
        </row>
        <row r="132">
          <cell r="R132">
            <v>980726</v>
          </cell>
        </row>
        <row r="133">
          <cell r="R133">
            <v>691642</v>
          </cell>
        </row>
        <row r="135">
          <cell r="R135">
            <v>562078</v>
          </cell>
        </row>
        <row r="136">
          <cell r="R136">
            <v>606403</v>
          </cell>
        </row>
        <row r="138">
          <cell r="R138">
            <v>813123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21"/>
      <sheetName val="2007-2015"/>
    </sheetNames>
    <sheetDataSet>
      <sheetData sheetId="0">
        <row r="7">
          <cell r="Z7">
            <v>117.96481</v>
          </cell>
        </row>
        <row r="8">
          <cell r="Z8">
            <v>4641756.8711700011</v>
          </cell>
        </row>
        <row r="10">
          <cell r="Z10">
            <v>10991.67585</v>
          </cell>
        </row>
        <row r="11">
          <cell r="Z11">
            <v>0</v>
          </cell>
        </row>
        <row r="12">
          <cell r="Z12">
            <v>0</v>
          </cell>
        </row>
        <row r="15">
          <cell r="Z15">
            <v>4515843.1527300002</v>
          </cell>
        </row>
        <row r="16">
          <cell r="Z16">
            <v>114920.90545000001</v>
          </cell>
        </row>
        <row r="17">
          <cell r="Z17">
            <v>1.13714</v>
          </cell>
        </row>
        <row r="18">
          <cell r="Z18">
            <v>0</v>
          </cell>
        </row>
        <row r="19">
          <cell r="Z19">
            <v>0</v>
          </cell>
        </row>
        <row r="23">
          <cell r="Z23">
            <v>0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28">
          <cell r="Z28">
            <v>0</v>
          </cell>
        </row>
        <row r="29">
          <cell r="Z29">
            <v>0</v>
          </cell>
        </row>
        <row r="32">
          <cell r="Z32">
            <v>1.294</v>
          </cell>
        </row>
        <row r="33">
          <cell r="Z33">
            <v>0</v>
          </cell>
        </row>
        <row r="34">
          <cell r="Z34">
            <v>0</v>
          </cell>
        </row>
        <row r="35">
          <cell r="Z35">
            <v>0</v>
          </cell>
        </row>
        <row r="36">
          <cell r="Z36">
            <v>69999.815279999995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39512.8632</v>
          </cell>
        </row>
        <row r="44">
          <cell r="Z44">
            <v>0</v>
          </cell>
        </row>
        <row r="47">
          <cell r="Z47">
            <v>717.44048999999995</v>
          </cell>
        </row>
        <row r="48">
          <cell r="Z48">
            <v>51907.994720000002</v>
          </cell>
        </row>
        <row r="49">
          <cell r="Z49">
            <v>8470.2850699999999</v>
          </cell>
        </row>
        <row r="50">
          <cell r="Z50">
            <v>0</v>
          </cell>
        </row>
        <row r="51">
          <cell r="Z51">
            <v>0</v>
          </cell>
        </row>
        <row r="57">
          <cell r="Z57">
            <v>0</v>
          </cell>
        </row>
        <row r="58">
          <cell r="Z58">
            <v>0</v>
          </cell>
        </row>
        <row r="60">
          <cell r="Z60">
            <v>0</v>
          </cell>
        </row>
        <row r="61">
          <cell r="Z61">
            <v>0</v>
          </cell>
        </row>
        <row r="62">
          <cell r="Z62">
            <v>0</v>
          </cell>
        </row>
        <row r="65">
          <cell r="Z65">
            <v>0</v>
          </cell>
        </row>
        <row r="66">
          <cell r="Z66">
            <v>0</v>
          </cell>
        </row>
        <row r="67">
          <cell r="Z67">
            <v>0</v>
          </cell>
        </row>
        <row r="69">
          <cell r="Z69">
            <v>0</v>
          </cell>
        </row>
        <row r="70">
          <cell r="Z70">
            <v>0</v>
          </cell>
        </row>
        <row r="71">
          <cell r="Z71">
            <v>0</v>
          </cell>
        </row>
        <row r="72">
          <cell r="Z72">
            <v>815717.54851999995</v>
          </cell>
        </row>
        <row r="73">
          <cell r="Z73">
            <v>0</v>
          </cell>
        </row>
        <row r="75">
          <cell r="Z75">
            <v>0</v>
          </cell>
        </row>
        <row r="76">
          <cell r="Z76">
            <v>0</v>
          </cell>
        </row>
        <row r="77">
          <cell r="Z77">
            <v>0</v>
          </cell>
        </row>
        <row r="78">
          <cell r="Z78">
            <v>0</v>
          </cell>
        </row>
        <row r="81">
          <cell r="Z81">
            <v>0</v>
          </cell>
        </row>
        <row r="82">
          <cell r="Z82">
            <v>0</v>
          </cell>
        </row>
        <row r="83">
          <cell r="Z83">
            <v>392104.26178</v>
          </cell>
        </row>
        <row r="84">
          <cell r="Z84">
            <v>0</v>
          </cell>
        </row>
        <row r="85">
          <cell r="Z85">
            <v>0</v>
          </cell>
        </row>
        <row r="87">
          <cell r="Z87">
            <v>7941.4973799999998</v>
          </cell>
        </row>
        <row r="88">
          <cell r="Z88">
            <v>179524.94067000001</v>
          </cell>
        </row>
        <row r="94">
          <cell r="Z94">
            <v>4550360.9268399999</v>
          </cell>
        </row>
        <row r="95">
          <cell r="Z95">
            <v>788474.42481999996</v>
          </cell>
        </row>
        <row r="96">
          <cell r="Z96">
            <v>5338835.3516600002</v>
          </cell>
        </row>
        <row r="99">
          <cell r="Z99">
            <v>0</v>
          </cell>
        </row>
        <row r="100">
          <cell r="Z100">
            <v>0</v>
          </cell>
        </row>
        <row r="101">
          <cell r="Z101">
            <v>0</v>
          </cell>
        </row>
        <row r="102">
          <cell r="Z102">
            <v>0</v>
          </cell>
        </row>
        <row r="103">
          <cell r="Z103">
            <v>0</v>
          </cell>
        </row>
        <row r="104">
          <cell r="Z104">
            <v>116.05983000000001</v>
          </cell>
        </row>
        <row r="105">
          <cell r="Z105">
            <v>301834.98285999999</v>
          </cell>
        </row>
        <row r="106">
          <cell r="Z106">
            <v>0</v>
          </cell>
        </row>
        <row r="109">
          <cell r="Z109">
            <v>0</v>
          </cell>
        </row>
        <row r="110">
          <cell r="Z110">
            <v>0</v>
          </cell>
        </row>
        <row r="111">
          <cell r="Z111">
            <v>0</v>
          </cell>
        </row>
        <row r="112">
          <cell r="Z112">
            <v>0</v>
          </cell>
        </row>
        <row r="113">
          <cell r="Z113">
            <v>0</v>
          </cell>
        </row>
        <row r="114">
          <cell r="Z114">
            <v>0</v>
          </cell>
        </row>
        <row r="115">
          <cell r="Z115">
            <v>4248409.8841500003</v>
          </cell>
        </row>
        <row r="116">
          <cell r="Z116">
            <v>0</v>
          </cell>
        </row>
        <row r="119">
          <cell r="Z119">
            <v>0</v>
          </cell>
        </row>
        <row r="120">
          <cell r="Z120">
            <v>0</v>
          </cell>
        </row>
        <row r="121">
          <cell r="Z121">
            <v>0</v>
          </cell>
        </row>
        <row r="122">
          <cell r="Z122">
            <v>0</v>
          </cell>
        </row>
        <row r="123">
          <cell r="Z123">
            <v>0</v>
          </cell>
        </row>
        <row r="124">
          <cell r="Z124">
            <v>0</v>
          </cell>
        </row>
        <row r="125">
          <cell r="Z125">
            <v>0</v>
          </cell>
        </row>
        <row r="126">
          <cell r="Z126">
            <v>0</v>
          </cell>
        </row>
        <row r="129">
          <cell r="Z129">
            <v>0</v>
          </cell>
        </row>
        <row r="130">
          <cell r="Z130">
            <v>2299.8976200000002</v>
          </cell>
        </row>
        <row r="131">
          <cell r="Z131">
            <v>786174.52720000001</v>
          </cell>
        </row>
        <row r="132">
          <cell r="Z132">
            <v>0</v>
          </cell>
        </row>
        <row r="133">
          <cell r="Z133">
            <v>0</v>
          </cell>
        </row>
        <row r="135">
          <cell r="Z135">
            <v>0</v>
          </cell>
        </row>
        <row r="136">
          <cell r="Z136">
            <v>128312.50811</v>
          </cell>
        </row>
        <row r="138">
          <cell r="Z138">
            <v>740624.91732000001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- 2022"/>
      <sheetName val="2007 - 2017"/>
    </sheetNames>
    <sheetDataSet>
      <sheetData sheetId="0">
        <row r="7">
          <cell r="S7">
            <v>87798.470950000003</v>
          </cell>
        </row>
        <row r="8">
          <cell r="S8">
            <v>4281380.3652799996</v>
          </cell>
        </row>
        <row r="10">
          <cell r="S10">
            <v>52648.000950000001</v>
          </cell>
        </row>
        <row r="11">
          <cell r="S11">
            <v>67972.646999999997</v>
          </cell>
        </row>
        <row r="12">
          <cell r="S12">
            <v>0</v>
          </cell>
        </row>
        <row r="16">
          <cell r="S16">
            <v>1574909.8653299999</v>
          </cell>
        </row>
        <row r="17">
          <cell r="S17">
            <v>1115.9839999999999</v>
          </cell>
        </row>
        <row r="18">
          <cell r="S18">
            <v>0</v>
          </cell>
        </row>
        <row r="19">
          <cell r="S19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2">
          <cell r="S32">
            <v>604730.60100000002</v>
          </cell>
        </row>
        <row r="33">
          <cell r="S33">
            <v>159345.21418000001</v>
          </cell>
        </row>
        <row r="34">
          <cell r="S34">
            <v>343606.36086000002</v>
          </cell>
        </row>
        <row r="35">
          <cell r="S35">
            <v>86459.936919999993</v>
          </cell>
        </row>
        <row r="36">
          <cell r="S36">
            <v>3514530.2015800001</v>
          </cell>
        </row>
        <row r="40">
          <cell r="S40">
            <v>100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15487.69543</v>
          </cell>
        </row>
        <row r="44">
          <cell r="S44">
            <v>0</v>
          </cell>
        </row>
        <row r="47">
          <cell r="S47">
            <v>77623</v>
          </cell>
        </row>
        <row r="48">
          <cell r="S48">
            <v>0</v>
          </cell>
        </row>
        <row r="49">
          <cell r="S49">
            <v>17.272639999999999</v>
          </cell>
        </row>
        <row r="50">
          <cell r="S50">
            <v>0</v>
          </cell>
        </row>
        <row r="51">
          <cell r="S51">
            <v>172306.019</v>
          </cell>
        </row>
        <row r="57">
          <cell r="S57">
            <v>196820.38</v>
          </cell>
        </row>
        <row r="58">
          <cell r="S58">
            <v>31499.052</v>
          </cell>
        </row>
        <row r="60">
          <cell r="S60">
            <v>254212.32177000001</v>
          </cell>
        </row>
        <row r="61">
          <cell r="S61">
            <v>155086.39058000001</v>
          </cell>
        </row>
        <row r="62">
          <cell r="S62">
            <v>1008649.1140600001</v>
          </cell>
        </row>
        <row r="65">
          <cell r="S65">
            <v>0</v>
          </cell>
        </row>
        <row r="66">
          <cell r="S66">
            <v>0.85104999999999997</v>
          </cell>
        </row>
        <row r="67">
          <cell r="S67">
            <v>0</v>
          </cell>
        </row>
        <row r="69">
          <cell r="S69">
            <v>4351.8720999999996</v>
          </cell>
        </row>
        <row r="70">
          <cell r="S70">
            <v>0</v>
          </cell>
        </row>
        <row r="71">
          <cell r="S71">
            <v>2.358E-2</v>
          </cell>
        </row>
        <row r="72">
          <cell r="S72">
            <v>16444.409670000001</v>
          </cell>
        </row>
        <row r="73">
          <cell r="S73">
            <v>3649.7323200000001</v>
          </cell>
        </row>
        <row r="75">
          <cell r="S75">
            <v>2501390.23227</v>
          </cell>
        </row>
        <row r="76">
          <cell r="S76">
            <v>70643.665940000006</v>
          </cell>
        </row>
        <row r="77">
          <cell r="S77">
            <v>3819.4129400000002</v>
          </cell>
        </row>
        <row r="78">
          <cell r="S78">
            <v>261394.11192999998</v>
          </cell>
        </row>
        <row r="81">
          <cell r="S81">
            <v>32841.25</v>
          </cell>
        </row>
        <row r="82">
          <cell r="S82">
            <v>0</v>
          </cell>
        </row>
        <row r="83">
          <cell r="S83">
            <v>72418.463669999997</v>
          </cell>
        </row>
        <row r="84">
          <cell r="S84">
            <v>583902.29055999999</v>
          </cell>
        </row>
        <row r="85">
          <cell r="S85">
            <v>452414.55304999999</v>
          </cell>
        </row>
        <row r="87">
          <cell r="S87">
            <v>188225.04844000001</v>
          </cell>
        </row>
        <row r="88">
          <cell r="S88">
            <v>194152.02415000001</v>
          </cell>
        </row>
        <row r="94">
          <cell r="S94">
            <v>10070115.093490001</v>
          </cell>
        </row>
        <row r="95">
          <cell r="S95">
            <v>3177856.4241199996</v>
          </cell>
        </row>
        <row r="96">
          <cell r="S96">
            <v>13247971.51761</v>
          </cell>
        </row>
        <row r="99">
          <cell r="S99">
            <v>40681.28847</v>
          </cell>
        </row>
        <row r="100">
          <cell r="S100">
            <v>154418.33184999999</v>
          </cell>
        </row>
        <row r="101">
          <cell r="S101">
            <v>1762092.40068</v>
          </cell>
        </row>
        <row r="102">
          <cell r="S102">
            <v>6</v>
          </cell>
        </row>
        <row r="103">
          <cell r="S103">
            <v>37069.346709999998</v>
          </cell>
        </row>
        <row r="104">
          <cell r="S104">
            <v>86707.098079999996</v>
          </cell>
        </row>
        <row r="105">
          <cell r="S105">
            <v>1437681.5767399999</v>
          </cell>
        </row>
        <row r="106">
          <cell r="S106">
            <v>638265.62373999995</v>
          </cell>
        </row>
        <row r="109">
          <cell r="S109">
            <v>888.17621999999994</v>
          </cell>
        </row>
        <row r="110">
          <cell r="S110">
            <v>12561.01856</v>
          </cell>
        </row>
        <row r="111">
          <cell r="S111">
            <v>948988.38034000003</v>
          </cell>
        </row>
        <row r="112">
          <cell r="S112">
            <v>15511.481390000001</v>
          </cell>
        </row>
        <row r="113">
          <cell r="S113">
            <v>38284.330560000002</v>
          </cell>
        </row>
        <row r="114">
          <cell r="S114">
            <v>5556.2737200000001</v>
          </cell>
        </row>
        <row r="115">
          <cell r="S115">
            <v>1219009.98706</v>
          </cell>
        </row>
        <row r="116">
          <cell r="S116">
            <v>1671611.37213</v>
          </cell>
        </row>
        <row r="119">
          <cell r="S119">
            <v>636851.90260000003</v>
          </cell>
        </row>
        <row r="120">
          <cell r="S120">
            <v>145524.11744</v>
          </cell>
        </row>
        <row r="121">
          <cell r="S121">
            <v>375286.49099000002</v>
          </cell>
        </row>
        <row r="122">
          <cell r="S122">
            <v>8115.2209999999995</v>
          </cell>
        </row>
        <row r="123">
          <cell r="S123">
            <v>37979.625889999996</v>
          </cell>
        </row>
        <row r="124">
          <cell r="S124">
            <v>13598.001689999999</v>
          </cell>
        </row>
        <row r="125">
          <cell r="S125">
            <v>261356.70915000001</v>
          </cell>
        </row>
        <row r="126">
          <cell r="S126">
            <v>522070.33847999998</v>
          </cell>
        </row>
        <row r="129">
          <cell r="S129">
            <v>1147763.0626699999</v>
          </cell>
        </row>
        <row r="130">
          <cell r="S130">
            <v>104010.58392999999</v>
          </cell>
        </row>
        <row r="131">
          <cell r="S131">
            <v>483551.26762</v>
          </cell>
        </row>
        <row r="132">
          <cell r="S132">
            <v>740211.82291999995</v>
          </cell>
        </row>
        <row r="133">
          <cell r="S133">
            <v>702319.68698</v>
          </cell>
        </row>
        <row r="135">
          <cell r="S135">
            <v>8567.8680000000004</v>
          </cell>
        </row>
        <row r="136">
          <cell r="S136">
            <v>224816.81263</v>
          </cell>
        </row>
        <row r="138">
          <cell r="S138">
            <v>1893944.1161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2022"/>
      <sheetName val="2007-2017"/>
    </sheetNames>
    <sheetDataSet>
      <sheetData sheetId="0">
        <row r="7">
          <cell r="S7">
            <v>117.80182000000001</v>
          </cell>
        </row>
        <row r="8">
          <cell r="S8">
            <v>5902785.8449900001</v>
          </cell>
        </row>
        <row r="10">
          <cell r="S10">
            <v>8881.7748900000006</v>
          </cell>
        </row>
        <row r="11">
          <cell r="S11">
            <v>0</v>
          </cell>
        </row>
        <row r="12">
          <cell r="S12">
            <v>0</v>
          </cell>
        </row>
        <row r="16">
          <cell r="S16">
            <v>90802.986770000003</v>
          </cell>
        </row>
        <row r="17">
          <cell r="S17">
            <v>0.10357</v>
          </cell>
        </row>
        <row r="18">
          <cell r="S18">
            <v>0</v>
          </cell>
        </row>
        <row r="19">
          <cell r="S19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2">
          <cell r="S32">
            <v>1.294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69967.119439999995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110386.63497</v>
          </cell>
        </row>
        <row r="44">
          <cell r="S44">
            <v>0</v>
          </cell>
        </row>
        <row r="47">
          <cell r="S47">
            <v>9066.7629400000005</v>
          </cell>
        </row>
        <row r="48">
          <cell r="S48">
            <v>53471.91231</v>
          </cell>
        </row>
        <row r="49">
          <cell r="S49">
            <v>10499.2114</v>
          </cell>
        </row>
        <row r="50">
          <cell r="S50">
            <v>0</v>
          </cell>
        </row>
        <row r="51">
          <cell r="S51">
            <v>0</v>
          </cell>
        </row>
        <row r="57">
          <cell r="S57">
            <v>0</v>
          </cell>
        </row>
        <row r="58">
          <cell r="S58">
            <v>0</v>
          </cell>
        </row>
        <row r="60">
          <cell r="S60">
            <v>0</v>
          </cell>
        </row>
        <row r="61">
          <cell r="S61">
            <v>0</v>
          </cell>
        </row>
        <row r="62">
          <cell r="S62">
            <v>0</v>
          </cell>
        </row>
        <row r="65">
          <cell r="S65">
            <v>0</v>
          </cell>
        </row>
        <row r="66">
          <cell r="S66">
            <v>0</v>
          </cell>
        </row>
        <row r="67">
          <cell r="S67">
            <v>0</v>
          </cell>
        </row>
        <row r="69">
          <cell r="S69">
            <v>0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595399.80567000003</v>
          </cell>
        </row>
        <row r="73">
          <cell r="S73">
            <v>0</v>
          </cell>
        </row>
        <row r="75"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380595.27081000002</v>
          </cell>
        </row>
        <row r="84">
          <cell r="S84">
            <v>0</v>
          </cell>
        </row>
        <row r="85">
          <cell r="S85">
            <v>0</v>
          </cell>
        </row>
        <row r="87">
          <cell r="S87">
            <v>7429.5812800000003</v>
          </cell>
        </row>
        <row r="88">
          <cell r="S88">
            <v>181091.95541999998</v>
          </cell>
        </row>
        <row r="94">
          <cell r="S94">
            <v>4859930.12677</v>
          </cell>
        </row>
        <row r="95">
          <cell r="S95">
            <v>1481493.6351999999</v>
          </cell>
        </row>
        <row r="96">
          <cell r="S96">
            <v>6341423.7619700003</v>
          </cell>
        </row>
        <row r="99">
          <cell r="S99">
            <v>0</v>
          </cell>
        </row>
        <row r="100">
          <cell r="S100">
            <v>0</v>
          </cell>
        </row>
        <row r="101">
          <cell r="S101">
            <v>0</v>
          </cell>
        </row>
        <row r="102">
          <cell r="S102">
            <v>0</v>
          </cell>
        </row>
        <row r="103">
          <cell r="S103">
            <v>0</v>
          </cell>
        </row>
        <row r="104">
          <cell r="S104">
            <v>83.152969999999996</v>
          </cell>
        </row>
        <row r="105">
          <cell r="S105">
            <v>265941.72745000001</v>
          </cell>
        </row>
        <row r="106">
          <cell r="S106">
            <v>0</v>
          </cell>
        </row>
        <row r="109">
          <cell r="S109">
            <v>0</v>
          </cell>
        </row>
        <row r="110">
          <cell r="S110">
            <v>0</v>
          </cell>
        </row>
        <row r="111">
          <cell r="S111">
            <v>0</v>
          </cell>
        </row>
        <row r="112">
          <cell r="S112">
            <v>0</v>
          </cell>
        </row>
        <row r="113">
          <cell r="S113">
            <v>0</v>
          </cell>
        </row>
        <row r="114">
          <cell r="S114">
            <v>0</v>
          </cell>
        </row>
        <row r="115">
          <cell r="S115">
            <v>4593905.2463499997</v>
          </cell>
        </row>
        <row r="116">
          <cell r="S116">
            <v>0</v>
          </cell>
        </row>
        <row r="119">
          <cell r="S119">
            <v>0</v>
          </cell>
        </row>
        <row r="120">
          <cell r="S120">
            <v>0</v>
          </cell>
        </row>
        <row r="121">
          <cell r="S121">
            <v>0</v>
          </cell>
        </row>
        <row r="122">
          <cell r="S122">
            <v>0</v>
          </cell>
        </row>
        <row r="123">
          <cell r="S123">
            <v>0</v>
          </cell>
        </row>
        <row r="124">
          <cell r="S124">
            <v>0</v>
          </cell>
        </row>
        <row r="125">
          <cell r="S125">
            <v>0</v>
          </cell>
        </row>
        <row r="126">
          <cell r="S126">
            <v>0</v>
          </cell>
        </row>
        <row r="129">
          <cell r="S129">
            <v>0</v>
          </cell>
        </row>
        <row r="130">
          <cell r="S130">
            <v>219.88038</v>
          </cell>
        </row>
        <row r="131">
          <cell r="S131">
            <v>1479687.67282</v>
          </cell>
        </row>
        <row r="132">
          <cell r="S132">
            <v>0</v>
          </cell>
        </row>
        <row r="133">
          <cell r="S133">
            <v>1586.0820000000001</v>
          </cell>
        </row>
        <row r="135">
          <cell r="S135">
            <v>9674.4497499999998</v>
          </cell>
        </row>
        <row r="136">
          <cell r="S136">
            <v>216844.04715</v>
          </cell>
        </row>
        <row r="138">
          <cell r="S138">
            <v>752870.93618000008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- 2022"/>
      <sheetName val="2007 - 2017"/>
    </sheetNames>
    <sheetDataSet>
      <sheetData sheetId="0">
        <row r="7">
          <cell r="T7">
            <v>87656.330969999995</v>
          </cell>
        </row>
        <row r="8">
          <cell r="T8">
            <v>4505751.2647500001</v>
          </cell>
        </row>
        <row r="10">
          <cell r="T10">
            <v>66634.577950000006</v>
          </cell>
        </row>
        <row r="11">
          <cell r="T11">
            <v>46363.360000000001</v>
          </cell>
        </row>
        <row r="12">
          <cell r="T12">
            <v>0</v>
          </cell>
        </row>
        <row r="15">
          <cell r="T15">
            <v>2909431.1093299999</v>
          </cell>
        </row>
        <row r="16">
          <cell r="T16">
            <v>1479898.26847</v>
          </cell>
        </row>
        <row r="17">
          <cell r="T17">
            <v>3423.9490000000001</v>
          </cell>
        </row>
        <row r="18">
          <cell r="T18">
            <v>0</v>
          </cell>
        </row>
        <row r="19">
          <cell r="T19">
            <v>0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2">
          <cell r="T32">
            <v>602034.19200000004</v>
          </cell>
        </row>
        <row r="33">
          <cell r="T33">
            <v>96803.42555</v>
          </cell>
        </row>
        <row r="34">
          <cell r="T34">
            <v>434693.75095999998</v>
          </cell>
        </row>
        <row r="35">
          <cell r="T35">
            <v>90644.633879999994</v>
          </cell>
        </row>
        <row r="36">
          <cell r="T36">
            <v>3224248.6155500002</v>
          </cell>
        </row>
        <row r="40">
          <cell r="T40">
            <v>100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12535.12743</v>
          </cell>
        </row>
        <row r="44">
          <cell r="T44">
            <v>0</v>
          </cell>
        </row>
        <row r="47">
          <cell r="T47">
            <v>77623</v>
          </cell>
        </row>
        <row r="48">
          <cell r="T48">
            <v>0</v>
          </cell>
        </row>
        <row r="49">
          <cell r="T49">
            <v>17.272639999999999</v>
          </cell>
        </row>
        <row r="50">
          <cell r="T50">
            <v>0</v>
          </cell>
        </row>
        <row r="51">
          <cell r="T51">
            <v>171877.598</v>
          </cell>
        </row>
        <row r="57">
          <cell r="T57">
            <v>518666.37053000001</v>
          </cell>
        </row>
        <row r="58">
          <cell r="T58">
            <v>28261.531999999999</v>
          </cell>
        </row>
        <row r="60">
          <cell r="T60">
            <v>239757.04417000001</v>
          </cell>
        </row>
        <row r="61">
          <cell r="T61">
            <v>173752.01295999999</v>
          </cell>
        </row>
        <row r="62">
          <cell r="T62">
            <v>1020944.781</v>
          </cell>
        </row>
        <row r="65">
          <cell r="T65">
            <v>0</v>
          </cell>
        </row>
        <row r="66">
          <cell r="T66">
            <v>42.725929999999998</v>
          </cell>
        </row>
        <row r="67">
          <cell r="T67">
            <v>0</v>
          </cell>
        </row>
        <row r="69">
          <cell r="T69">
            <v>4268.1472899999999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16224.88386</v>
          </cell>
        </row>
        <row r="73">
          <cell r="T73">
            <v>3652.3859200000002</v>
          </cell>
        </row>
        <row r="75">
          <cell r="T75">
            <v>2551694.9478099998</v>
          </cell>
        </row>
        <row r="76">
          <cell r="T76">
            <v>70833.507859999998</v>
          </cell>
        </row>
        <row r="77">
          <cell r="T77">
            <v>3376.8621400000002</v>
          </cell>
        </row>
        <row r="78">
          <cell r="T78">
            <v>260980.96490999998</v>
          </cell>
        </row>
        <row r="81">
          <cell r="T81">
            <v>30455</v>
          </cell>
        </row>
        <row r="82">
          <cell r="T82">
            <v>0</v>
          </cell>
        </row>
        <row r="83">
          <cell r="T83">
            <v>73139.016159999999</v>
          </cell>
        </row>
        <row r="84">
          <cell r="T84">
            <v>564154.45178999996</v>
          </cell>
        </row>
        <row r="85">
          <cell r="T85">
            <v>467780.77877999999</v>
          </cell>
        </row>
        <row r="87">
          <cell r="T87">
            <v>188101.03700000001</v>
          </cell>
        </row>
        <row r="88">
          <cell r="T88">
            <v>154065.24116999999</v>
          </cell>
        </row>
        <row r="94">
          <cell r="T94">
            <v>10507421.814239999</v>
          </cell>
        </row>
        <row r="95">
          <cell r="T95">
            <v>3015359.2349099996</v>
          </cell>
        </row>
        <row r="96">
          <cell r="T96">
            <v>13522781.049149999</v>
          </cell>
        </row>
        <row r="99">
          <cell r="T99">
            <v>17247.131669999999</v>
          </cell>
        </row>
        <row r="100">
          <cell r="T100">
            <v>170593.46765999999</v>
          </cell>
        </row>
        <row r="101">
          <cell r="T101">
            <v>1758848.80581</v>
          </cell>
        </row>
        <row r="102">
          <cell r="T102">
            <v>6</v>
          </cell>
        </row>
        <row r="103">
          <cell r="T103">
            <v>33388.014380000001</v>
          </cell>
        </row>
        <row r="104">
          <cell r="T104">
            <v>85512.382540000006</v>
          </cell>
        </row>
        <row r="105">
          <cell r="T105">
            <v>1697718.69903</v>
          </cell>
        </row>
        <row r="106">
          <cell r="T106">
            <v>641883.60944999999</v>
          </cell>
        </row>
        <row r="109">
          <cell r="T109">
            <v>1232.0648100000001</v>
          </cell>
        </row>
        <row r="110">
          <cell r="T110">
            <v>15883.30284</v>
          </cell>
        </row>
        <row r="111">
          <cell r="T111">
            <v>1002985.64948</v>
          </cell>
        </row>
        <row r="112">
          <cell r="T112">
            <v>17256.754219999999</v>
          </cell>
        </row>
        <row r="113">
          <cell r="T113">
            <v>66875.852469999998</v>
          </cell>
        </row>
        <row r="114">
          <cell r="T114">
            <v>5370.4795100000001</v>
          </cell>
        </row>
        <row r="115">
          <cell r="T115">
            <v>1225790.3740300001</v>
          </cell>
        </row>
        <row r="116">
          <cell r="T116">
            <v>1668640.8681900001</v>
          </cell>
        </row>
        <row r="119">
          <cell r="T119">
            <v>594436.06564000004</v>
          </cell>
        </row>
        <row r="120">
          <cell r="T120">
            <v>83449.732300000003</v>
          </cell>
        </row>
        <row r="121">
          <cell r="T121">
            <v>533011.78792999999</v>
          </cell>
        </row>
        <row r="122">
          <cell r="T122">
            <v>8128.9110000000001</v>
          </cell>
        </row>
        <row r="123">
          <cell r="T123">
            <v>72441.730039999995</v>
          </cell>
        </row>
        <row r="124">
          <cell r="T124">
            <v>15204.54905</v>
          </cell>
        </row>
        <row r="125">
          <cell r="T125">
            <v>281258.75771999999</v>
          </cell>
        </row>
        <row r="126">
          <cell r="T126">
            <v>510256.82446999999</v>
          </cell>
        </row>
        <row r="129">
          <cell r="T129">
            <v>1059964.8947099999</v>
          </cell>
        </row>
        <row r="130">
          <cell r="T130">
            <v>106453.98376</v>
          </cell>
        </row>
        <row r="131">
          <cell r="T131">
            <v>461153.88735999999</v>
          </cell>
        </row>
        <row r="132">
          <cell r="T132">
            <v>685234.76165</v>
          </cell>
        </row>
        <row r="133">
          <cell r="T133">
            <v>702551.70742999995</v>
          </cell>
        </row>
        <row r="135">
          <cell r="T135">
            <v>8477.8880000000008</v>
          </cell>
        </row>
        <row r="136">
          <cell r="T136">
            <v>213708.95578000002</v>
          </cell>
        </row>
        <row r="138">
          <cell r="T138">
            <v>1929169.0100799999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2022"/>
      <sheetName val="2007-2017"/>
    </sheetNames>
    <sheetDataSet>
      <sheetData sheetId="0">
        <row r="7">
          <cell r="T7">
            <v>117.58337</v>
          </cell>
        </row>
        <row r="8">
          <cell r="T8">
            <v>4157797.6886599995</v>
          </cell>
        </row>
        <row r="10">
          <cell r="T10">
            <v>6449.35671</v>
          </cell>
        </row>
        <row r="11">
          <cell r="T11">
            <v>0</v>
          </cell>
        </row>
        <row r="12">
          <cell r="T12">
            <v>0</v>
          </cell>
        </row>
        <row r="15">
          <cell r="T15">
            <v>4096046.0861</v>
          </cell>
        </row>
        <row r="16">
          <cell r="T16">
            <v>55302.14228</v>
          </cell>
        </row>
        <row r="17">
          <cell r="T17">
            <v>0.10357</v>
          </cell>
        </row>
        <row r="18">
          <cell r="T18">
            <v>0</v>
          </cell>
        </row>
        <row r="19">
          <cell r="T19">
            <v>0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2">
          <cell r="T32">
            <v>1.294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69842.801389999993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54441.724390000003</v>
          </cell>
        </row>
        <row r="44">
          <cell r="T44">
            <v>0</v>
          </cell>
        </row>
        <row r="47">
          <cell r="T47">
            <v>2616.3474700000002</v>
          </cell>
        </row>
        <row r="48">
          <cell r="T48">
            <v>96378.55816</v>
          </cell>
        </row>
        <row r="49">
          <cell r="T49">
            <v>8190.4163799999997</v>
          </cell>
        </row>
        <row r="50">
          <cell r="T50">
            <v>0</v>
          </cell>
        </row>
        <row r="51">
          <cell r="T51">
            <v>0</v>
          </cell>
        </row>
        <row r="57">
          <cell r="T57">
            <v>0</v>
          </cell>
        </row>
        <row r="58">
          <cell r="T58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1011666.8047</v>
          </cell>
        </row>
        <row r="73">
          <cell r="T73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333491.34483999998</v>
          </cell>
        </row>
        <row r="84">
          <cell r="T84">
            <v>0</v>
          </cell>
        </row>
        <row r="85">
          <cell r="T85">
            <v>0</v>
          </cell>
        </row>
        <row r="87">
          <cell r="T87">
            <v>6820.4095399999997</v>
          </cell>
        </row>
        <row r="88">
          <cell r="T88">
            <v>175687.30267999999</v>
          </cell>
        </row>
        <row r="94">
          <cell r="T94">
            <v>4123809.2278800001</v>
          </cell>
        </row>
        <row r="95">
          <cell r="T95">
            <v>846099.06397000002</v>
          </cell>
        </row>
        <row r="96">
          <cell r="T96">
            <v>4969908.2918500006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74.023099999999999</v>
          </cell>
        </row>
        <row r="105">
          <cell r="T105">
            <v>271486.37471</v>
          </cell>
        </row>
        <row r="106">
          <cell r="T106">
            <v>7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3852241.8300700001</v>
          </cell>
        </row>
        <row r="116">
          <cell r="T116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9">
          <cell r="T129">
            <v>0</v>
          </cell>
        </row>
        <row r="130">
          <cell r="T130">
            <v>184.19507999999999</v>
          </cell>
        </row>
        <row r="131">
          <cell r="T131">
            <v>842586.32191000006</v>
          </cell>
        </row>
        <row r="132">
          <cell r="T132">
            <v>0</v>
          </cell>
        </row>
        <row r="133">
          <cell r="T133">
            <v>3328.5469800000001</v>
          </cell>
        </row>
        <row r="135">
          <cell r="T135">
            <v>1450.64734</v>
          </cell>
        </row>
        <row r="136">
          <cell r="T136">
            <v>179913.11491</v>
          </cell>
        </row>
        <row r="138">
          <cell r="T138">
            <v>765780.22147999995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- 2019"/>
      <sheetName val="2007 - 2014"/>
    </sheetNames>
    <sheetDataSet>
      <sheetData sheetId="0">
        <row r="7">
          <cell r="R7">
            <v>84218</v>
          </cell>
        </row>
        <row r="8">
          <cell r="R8">
            <v>5689624</v>
          </cell>
        </row>
        <row r="10">
          <cell r="R10">
            <v>43900</v>
          </cell>
        </row>
        <row r="11">
          <cell r="R11">
            <v>116961</v>
          </cell>
        </row>
        <row r="12">
          <cell r="R12">
            <v>0</v>
          </cell>
        </row>
        <row r="15">
          <cell r="R15">
            <v>4284580</v>
          </cell>
        </row>
        <row r="16">
          <cell r="R16">
            <v>1244183</v>
          </cell>
        </row>
        <row r="17">
          <cell r="R17">
            <v>0</v>
          </cell>
        </row>
        <row r="18">
          <cell r="R18">
            <v>0</v>
          </cell>
        </row>
        <row r="19">
          <cell r="R19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7">
          <cell r="R27">
            <v>0</v>
          </cell>
        </row>
        <row r="28">
          <cell r="R28">
            <v>0</v>
          </cell>
        </row>
        <row r="29">
          <cell r="R29">
            <v>0</v>
          </cell>
        </row>
        <row r="32">
          <cell r="R32">
            <v>658852</v>
          </cell>
        </row>
        <row r="35">
          <cell r="R35">
            <v>60321</v>
          </cell>
        </row>
        <row r="40">
          <cell r="R40">
            <v>0</v>
          </cell>
        </row>
        <row r="41">
          <cell r="R41">
            <v>0</v>
          </cell>
        </row>
        <row r="42">
          <cell r="R42">
            <v>0</v>
          </cell>
        </row>
        <row r="43">
          <cell r="R43">
            <v>9540</v>
          </cell>
        </row>
        <row r="44">
          <cell r="R44">
            <v>0</v>
          </cell>
        </row>
        <row r="47">
          <cell r="R47">
            <v>77623</v>
          </cell>
        </row>
        <row r="50">
          <cell r="R50">
            <v>0</v>
          </cell>
        </row>
        <row r="57">
          <cell r="R57">
            <v>277115</v>
          </cell>
        </row>
        <row r="58">
          <cell r="R58">
            <v>54065</v>
          </cell>
        </row>
        <row r="60">
          <cell r="R60">
            <v>260409</v>
          </cell>
        </row>
        <row r="61">
          <cell r="R61">
            <v>122831</v>
          </cell>
        </row>
        <row r="62">
          <cell r="R62">
            <v>701576</v>
          </cell>
        </row>
        <row r="65">
          <cell r="R65">
            <v>0</v>
          </cell>
        </row>
        <row r="66">
          <cell r="R66">
            <v>0</v>
          </cell>
        </row>
        <row r="67">
          <cell r="R67">
            <v>0</v>
          </cell>
        </row>
        <row r="69">
          <cell r="R69">
            <v>3249</v>
          </cell>
        </row>
        <row r="70">
          <cell r="R70">
            <v>4152</v>
          </cell>
        </row>
        <row r="71">
          <cell r="R71">
            <v>0</v>
          </cell>
        </row>
        <row r="72">
          <cell r="R72">
            <v>22446</v>
          </cell>
        </row>
        <row r="73">
          <cell r="R73">
            <v>10351</v>
          </cell>
        </row>
        <row r="75">
          <cell r="R75">
            <v>2126153</v>
          </cell>
        </row>
        <row r="76">
          <cell r="R76">
            <v>68739</v>
          </cell>
        </row>
        <row r="77">
          <cell r="R77">
            <v>5611</v>
          </cell>
        </row>
        <row r="78">
          <cell r="R78">
            <v>304371</v>
          </cell>
        </row>
        <row r="81">
          <cell r="R81">
            <v>33534</v>
          </cell>
        </row>
        <row r="82">
          <cell r="R82">
            <v>0</v>
          </cell>
        </row>
        <row r="83">
          <cell r="R83">
            <v>75584</v>
          </cell>
        </row>
        <row r="84">
          <cell r="R84">
            <v>1197757</v>
          </cell>
        </row>
        <row r="85">
          <cell r="R85">
            <v>478405</v>
          </cell>
        </row>
        <row r="87">
          <cell r="R87">
            <v>238370</v>
          </cell>
        </row>
        <row r="88">
          <cell r="R88">
            <v>214811</v>
          </cell>
        </row>
        <row r="94">
          <cell r="R94">
            <v>8910989</v>
          </cell>
        </row>
        <row r="95">
          <cell r="R95">
            <v>4747185</v>
          </cell>
        </row>
        <row r="96">
          <cell r="R96">
            <v>13658174</v>
          </cell>
        </row>
        <row r="99">
          <cell r="R99">
            <v>90306</v>
          </cell>
        </row>
        <row r="100">
          <cell r="R100">
            <v>106081</v>
          </cell>
        </row>
        <row r="101">
          <cell r="R101">
            <v>1318425</v>
          </cell>
        </row>
        <row r="102">
          <cell r="R102">
            <v>6</v>
          </cell>
        </row>
        <row r="103">
          <cell r="R103">
            <v>30889</v>
          </cell>
        </row>
        <row r="104">
          <cell r="R104">
            <v>82815</v>
          </cell>
        </row>
        <row r="105">
          <cell r="R105">
            <v>1137758</v>
          </cell>
        </row>
        <row r="106">
          <cell r="R106">
            <v>439444</v>
          </cell>
        </row>
        <row r="109">
          <cell r="R109">
            <v>2387</v>
          </cell>
        </row>
        <row r="110">
          <cell r="R110">
            <v>3395</v>
          </cell>
        </row>
        <row r="111">
          <cell r="R111">
            <v>910668</v>
          </cell>
        </row>
        <row r="112">
          <cell r="R112">
            <v>12830</v>
          </cell>
        </row>
        <row r="113">
          <cell r="R113">
            <v>18119</v>
          </cell>
        </row>
        <row r="114">
          <cell r="R114">
            <v>4962</v>
          </cell>
        </row>
        <row r="115">
          <cell r="R115">
            <v>1081978</v>
          </cell>
        </row>
        <row r="116">
          <cell r="R116">
            <v>1098155</v>
          </cell>
        </row>
        <row r="119">
          <cell r="R119">
            <v>956043</v>
          </cell>
        </row>
        <row r="120">
          <cell r="R120">
            <v>64437</v>
          </cell>
        </row>
        <row r="121">
          <cell r="R121">
            <v>345132</v>
          </cell>
        </row>
        <row r="122">
          <cell r="R122">
            <v>7972</v>
          </cell>
        </row>
        <row r="123">
          <cell r="R123">
            <v>23565</v>
          </cell>
        </row>
        <row r="124">
          <cell r="R124">
            <v>9196</v>
          </cell>
        </row>
        <row r="125">
          <cell r="R125">
            <v>485654</v>
          </cell>
        </row>
        <row r="126">
          <cell r="R126">
            <v>680772</v>
          </cell>
        </row>
        <row r="129">
          <cell r="R129">
            <v>1795861</v>
          </cell>
        </row>
        <row r="130">
          <cell r="R130">
            <v>39531</v>
          </cell>
        </row>
        <row r="131">
          <cell r="R131">
            <v>482967</v>
          </cell>
        </row>
        <row r="132">
          <cell r="R132">
            <v>1765953</v>
          </cell>
        </row>
        <row r="133">
          <cell r="R133">
            <v>662873</v>
          </cell>
        </row>
        <row r="135">
          <cell r="R135">
            <v>0</v>
          </cell>
        </row>
        <row r="136">
          <cell r="R136">
            <v>233804</v>
          </cell>
        </row>
        <row r="138">
          <cell r="R138">
            <v>2138868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9"/>
      <sheetName val="2007-2014"/>
    </sheetNames>
    <sheetDataSet>
      <sheetData sheetId="0">
        <row r="7">
          <cell r="R7">
            <v>116</v>
          </cell>
        </row>
        <row r="8">
          <cell r="R8">
            <v>3176130</v>
          </cell>
        </row>
        <row r="10">
          <cell r="R10">
            <v>15754</v>
          </cell>
        </row>
        <row r="11">
          <cell r="R11">
            <v>133974</v>
          </cell>
        </row>
        <row r="12">
          <cell r="R12">
            <v>0</v>
          </cell>
        </row>
        <row r="15">
          <cell r="R15">
            <v>3016691</v>
          </cell>
        </row>
        <row r="16">
          <cell r="R16">
            <v>9705</v>
          </cell>
        </row>
        <row r="17">
          <cell r="R17">
            <v>6</v>
          </cell>
        </row>
        <row r="18">
          <cell r="R18">
            <v>0</v>
          </cell>
        </row>
        <row r="19">
          <cell r="R19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7">
          <cell r="R27">
            <v>0</v>
          </cell>
        </row>
        <row r="28">
          <cell r="R28">
            <v>49929</v>
          </cell>
        </row>
        <row r="29">
          <cell r="R29">
            <v>0</v>
          </cell>
        </row>
        <row r="32">
          <cell r="R32">
            <v>47818</v>
          </cell>
        </row>
        <row r="35">
          <cell r="R35">
            <v>0</v>
          </cell>
        </row>
        <row r="40">
          <cell r="R40">
            <v>0</v>
          </cell>
        </row>
        <row r="41">
          <cell r="R41">
            <v>0</v>
          </cell>
        </row>
        <row r="42">
          <cell r="R42">
            <v>0</v>
          </cell>
        </row>
        <row r="43">
          <cell r="R43">
            <v>0</v>
          </cell>
        </row>
        <row r="44">
          <cell r="R44">
            <v>0</v>
          </cell>
        </row>
        <row r="47">
          <cell r="R47">
            <v>265</v>
          </cell>
        </row>
        <row r="50">
          <cell r="R50">
            <v>0</v>
          </cell>
        </row>
        <row r="57">
          <cell r="R57">
            <v>0</v>
          </cell>
        </row>
        <row r="58">
          <cell r="R58">
            <v>0</v>
          </cell>
        </row>
        <row r="60"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5">
          <cell r="R65">
            <v>0</v>
          </cell>
        </row>
        <row r="66">
          <cell r="R66">
            <v>0</v>
          </cell>
        </row>
        <row r="67">
          <cell r="R67">
            <v>0</v>
          </cell>
        </row>
        <row r="69">
          <cell r="R69">
            <v>0</v>
          </cell>
        </row>
        <row r="70">
          <cell r="R70">
            <v>0</v>
          </cell>
        </row>
        <row r="71">
          <cell r="R71">
            <v>0</v>
          </cell>
        </row>
        <row r="72">
          <cell r="R72">
            <v>324689</v>
          </cell>
        </row>
        <row r="73">
          <cell r="R73">
            <v>0</v>
          </cell>
        </row>
        <row r="75">
          <cell r="R75">
            <v>0</v>
          </cell>
        </row>
        <row r="76">
          <cell r="R76">
            <v>0</v>
          </cell>
        </row>
        <row r="77">
          <cell r="R77">
            <v>0</v>
          </cell>
        </row>
        <row r="78">
          <cell r="R78">
            <v>0</v>
          </cell>
        </row>
        <row r="81">
          <cell r="R81">
            <v>0</v>
          </cell>
        </row>
        <row r="82">
          <cell r="R82">
            <v>0</v>
          </cell>
        </row>
        <row r="83">
          <cell r="R83">
            <v>271298</v>
          </cell>
        </row>
        <row r="84">
          <cell r="R84">
            <v>0</v>
          </cell>
        </row>
        <row r="85">
          <cell r="R85">
            <v>0</v>
          </cell>
        </row>
        <row r="87">
          <cell r="R87">
            <v>14574</v>
          </cell>
        </row>
        <row r="88">
          <cell r="R88">
            <v>108645</v>
          </cell>
        </row>
        <row r="94">
          <cell r="R94">
            <v>3014572</v>
          </cell>
        </row>
        <row r="95">
          <cell r="R95">
            <v>554995</v>
          </cell>
        </row>
        <row r="96">
          <cell r="R96">
            <v>3569567</v>
          </cell>
        </row>
        <row r="99">
          <cell r="R99">
            <v>0</v>
          </cell>
        </row>
        <row r="100">
          <cell r="R100">
            <v>0</v>
          </cell>
        </row>
        <row r="101">
          <cell r="R101">
            <v>0</v>
          </cell>
        </row>
        <row r="102">
          <cell r="R102">
            <v>0</v>
          </cell>
        </row>
        <row r="103">
          <cell r="R103">
            <v>0</v>
          </cell>
        </row>
        <row r="104">
          <cell r="R104">
            <v>364</v>
          </cell>
        </row>
        <row r="105">
          <cell r="R105">
            <v>186310</v>
          </cell>
        </row>
        <row r="106">
          <cell r="R106">
            <v>0</v>
          </cell>
        </row>
        <row r="109">
          <cell r="R109">
            <v>0</v>
          </cell>
        </row>
        <row r="110">
          <cell r="R110">
            <v>0</v>
          </cell>
        </row>
        <row r="111">
          <cell r="R111">
            <v>0</v>
          </cell>
        </row>
        <row r="112">
          <cell r="R112">
            <v>0</v>
          </cell>
        </row>
        <row r="113">
          <cell r="R113">
            <v>0</v>
          </cell>
        </row>
        <row r="114">
          <cell r="R114">
            <v>0</v>
          </cell>
        </row>
        <row r="115">
          <cell r="R115">
            <v>2663431</v>
          </cell>
        </row>
        <row r="116">
          <cell r="R116">
            <v>0</v>
          </cell>
        </row>
        <row r="119">
          <cell r="R119">
            <v>0</v>
          </cell>
        </row>
        <row r="120">
          <cell r="R120">
            <v>0</v>
          </cell>
        </row>
        <row r="121">
          <cell r="R121">
            <v>0</v>
          </cell>
        </row>
        <row r="122">
          <cell r="R122">
            <v>0</v>
          </cell>
        </row>
        <row r="123">
          <cell r="R123">
            <v>0</v>
          </cell>
        </row>
        <row r="124">
          <cell r="R124">
            <v>0</v>
          </cell>
        </row>
        <row r="125">
          <cell r="R125">
            <v>164467</v>
          </cell>
        </row>
        <row r="126">
          <cell r="R126">
            <v>0</v>
          </cell>
        </row>
        <row r="129">
          <cell r="R129">
            <v>0</v>
          </cell>
        </row>
        <row r="130">
          <cell r="R130">
            <v>0</v>
          </cell>
        </row>
        <row r="131">
          <cell r="R131">
            <v>554995</v>
          </cell>
        </row>
        <row r="132">
          <cell r="R132">
            <v>0</v>
          </cell>
        </row>
        <row r="133">
          <cell r="R133">
            <v>0</v>
          </cell>
        </row>
        <row r="135">
          <cell r="R135">
            <v>0</v>
          </cell>
        </row>
        <row r="136">
          <cell r="R136">
            <v>209213</v>
          </cell>
        </row>
        <row r="138">
          <cell r="R138">
            <v>371362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- 2019"/>
      <sheetName val="2007 - 2014"/>
    </sheetNames>
    <sheetDataSet>
      <sheetData sheetId="0">
        <row r="7">
          <cell r="S7">
            <v>111004</v>
          </cell>
        </row>
        <row r="8">
          <cell r="S8">
            <v>4107748</v>
          </cell>
        </row>
        <row r="10">
          <cell r="S10">
            <v>38008</v>
          </cell>
        </row>
        <row r="11">
          <cell r="S11">
            <v>101351</v>
          </cell>
        </row>
        <row r="12">
          <cell r="S12">
            <v>0</v>
          </cell>
        </row>
        <row r="15">
          <cell r="S15">
            <v>2800751</v>
          </cell>
        </row>
        <row r="16">
          <cell r="S16">
            <v>1167638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2">
          <cell r="S32">
            <v>550137</v>
          </cell>
        </row>
        <row r="35">
          <cell r="S35">
            <v>55687</v>
          </cell>
        </row>
        <row r="40">
          <cell r="S40">
            <v>100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8539</v>
          </cell>
        </row>
        <row r="44">
          <cell r="S44">
            <v>0</v>
          </cell>
        </row>
        <row r="47">
          <cell r="S47">
            <v>77623</v>
          </cell>
        </row>
        <row r="50">
          <cell r="S50">
            <v>0</v>
          </cell>
        </row>
        <row r="57">
          <cell r="S57">
            <v>262785</v>
          </cell>
        </row>
        <row r="58">
          <cell r="S58">
            <v>67072</v>
          </cell>
        </row>
        <row r="60">
          <cell r="S60">
            <v>382138</v>
          </cell>
        </row>
        <row r="61">
          <cell r="S61">
            <v>136695</v>
          </cell>
        </row>
        <row r="62">
          <cell r="S62">
            <v>719613</v>
          </cell>
        </row>
        <row r="65">
          <cell r="S65">
            <v>0</v>
          </cell>
        </row>
        <row r="66">
          <cell r="S66">
            <v>21</v>
          </cell>
        </row>
        <row r="67">
          <cell r="S67">
            <v>0</v>
          </cell>
        </row>
        <row r="69">
          <cell r="S69">
            <v>3197</v>
          </cell>
        </row>
        <row r="70">
          <cell r="S70">
            <v>3993</v>
          </cell>
        </row>
        <row r="71">
          <cell r="S71">
            <v>0</v>
          </cell>
        </row>
        <row r="72">
          <cell r="S72">
            <v>30742</v>
          </cell>
        </row>
        <row r="73">
          <cell r="S73">
            <v>1184</v>
          </cell>
        </row>
        <row r="75">
          <cell r="S75">
            <v>2143193</v>
          </cell>
        </row>
        <row r="76">
          <cell r="S76">
            <v>68685</v>
          </cell>
        </row>
        <row r="77">
          <cell r="S77">
            <v>5503</v>
          </cell>
        </row>
        <row r="78">
          <cell r="S78">
            <v>261621</v>
          </cell>
        </row>
        <row r="81">
          <cell r="S81">
            <v>31676</v>
          </cell>
        </row>
        <row r="82">
          <cell r="S82">
            <v>0</v>
          </cell>
        </row>
        <row r="83">
          <cell r="S83">
            <v>82676</v>
          </cell>
        </row>
        <row r="84">
          <cell r="S84">
            <v>1139621</v>
          </cell>
        </row>
        <row r="85">
          <cell r="S85">
            <v>500409</v>
          </cell>
        </row>
        <row r="87">
          <cell r="S87">
            <v>266301</v>
          </cell>
        </row>
        <row r="88">
          <cell r="S88">
            <v>259946</v>
          </cell>
        </row>
        <row r="94">
          <cell r="S94">
            <v>8767980</v>
          </cell>
        </row>
        <row r="95">
          <cell r="S95">
            <v>3391039</v>
          </cell>
        </row>
        <row r="96">
          <cell r="S96">
            <v>12159019</v>
          </cell>
        </row>
        <row r="99">
          <cell r="S99">
            <v>31697</v>
          </cell>
        </row>
        <row r="100">
          <cell r="S100">
            <v>140098</v>
          </cell>
        </row>
        <row r="101">
          <cell r="S101">
            <v>1194560</v>
          </cell>
        </row>
        <row r="102">
          <cell r="S102">
            <v>6</v>
          </cell>
        </row>
        <row r="103">
          <cell r="S103">
            <v>128650</v>
          </cell>
        </row>
        <row r="104">
          <cell r="S104">
            <v>75327</v>
          </cell>
        </row>
        <row r="105">
          <cell r="S105">
            <v>1238500</v>
          </cell>
        </row>
        <row r="106">
          <cell r="S106">
            <v>475518</v>
          </cell>
        </row>
        <row r="109">
          <cell r="S109">
            <v>8095</v>
          </cell>
        </row>
        <row r="110">
          <cell r="S110">
            <v>7992</v>
          </cell>
        </row>
        <row r="111">
          <cell r="S111">
            <v>883671</v>
          </cell>
        </row>
        <row r="112">
          <cell r="S112">
            <v>14728</v>
          </cell>
        </row>
        <row r="113">
          <cell r="S113">
            <v>22482</v>
          </cell>
        </row>
        <row r="114">
          <cell r="S114">
            <v>5790</v>
          </cell>
        </row>
        <row r="115">
          <cell r="S115">
            <v>995258</v>
          </cell>
        </row>
        <row r="116">
          <cell r="S116">
            <v>1159418</v>
          </cell>
        </row>
        <row r="119">
          <cell r="S119">
            <v>833028</v>
          </cell>
        </row>
        <row r="120">
          <cell r="S120">
            <v>196694</v>
          </cell>
        </row>
        <row r="121">
          <cell r="S121">
            <v>325656</v>
          </cell>
        </row>
        <row r="122">
          <cell r="S122">
            <v>8049</v>
          </cell>
        </row>
        <row r="123">
          <cell r="S123">
            <v>15762</v>
          </cell>
        </row>
        <row r="124">
          <cell r="S124">
            <v>7426</v>
          </cell>
        </row>
        <row r="125">
          <cell r="S125">
            <v>382609</v>
          </cell>
        </row>
        <row r="126">
          <cell r="S126">
            <v>616966</v>
          </cell>
        </row>
        <row r="129">
          <cell r="S129">
            <v>1466379</v>
          </cell>
        </row>
        <row r="130">
          <cell r="S130">
            <v>76994</v>
          </cell>
        </row>
        <row r="131">
          <cell r="S131">
            <v>480674</v>
          </cell>
        </row>
        <row r="132">
          <cell r="S132">
            <v>699789</v>
          </cell>
        </row>
        <row r="133">
          <cell r="S133">
            <v>667203</v>
          </cell>
        </row>
        <row r="135">
          <cell r="S135">
            <v>0</v>
          </cell>
        </row>
        <row r="136">
          <cell r="S136">
            <v>261334</v>
          </cell>
        </row>
        <row r="138">
          <cell r="S138">
            <v>2159078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9"/>
      <sheetName val="2007-2014"/>
    </sheetNames>
    <sheetDataSet>
      <sheetData sheetId="0">
        <row r="7">
          <cell r="S7">
            <v>119</v>
          </cell>
        </row>
        <row r="8">
          <cell r="S8">
            <v>4284776</v>
          </cell>
        </row>
        <row r="10">
          <cell r="S10">
            <v>9598</v>
          </cell>
        </row>
        <row r="11">
          <cell r="S11">
            <v>68496</v>
          </cell>
        </row>
        <row r="12">
          <cell r="S12">
            <v>0</v>
          </cell>
        </row>
        <row r="15">
          <cell r="S15">
            <v>4195723</v>
          </cell>
        </row>
        <row r="16">
          <cell r="S16">
            <v>10947</v>
          </cell>
        </row>
        <row r="17">
          <cell r="S17">
            <v>12</v>
          </cell>
        </row>
        <row r="18">
          <cell r="S18">
            <v>0</v>
          </cell>
        </row>
        <row r="19">
          <cell r="S19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111979</v>
          </cell>
        </row>
        <row r="29">
          <cell r="S29">
            <v>0</v>
          </cell>
        </row>
        <row r="32">
          <cell r="S32">
            <v>31974</v>
          </cell>
        </row>
        <row r="35">
          <cell r="S35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7">
          <cell r="S47">
            <v>0</v>
          </cell>
        </row>
        <row r="50">
          <cell r="S50">
            <v>0</v>
          </cell>
        </row>
        <row r="57">
          <cell r="S57">
            <v>0</v>
          </cell>
        </row>
        <row r="58">
          <cell r="S58">
            <v>0</v>
          </cell>
        </row>
        <row r="60">
          <cell r="S60">
            <v>0</v>
          </cell>
        </row>
        <row r="61">
          <cell r="S61">
            <v>0</v>
          </cell>
        </row>
        <row r="62">
          <cell r="S62">
            <v>0</v>
          </cell>
        </row>
        <row r="65">
          <cell r="S65">
            <v>0</v>
          </cell>
        </row>
        <row r="66">
          <cell r="S66">
            <v>0</v>
          </cell>
        </row>
        <row r="67">
          <cell r="S67">
            <v>0</v>
          </cell>
        </row>
        <row r="69">
          <cell r="S69">
            <v>0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698741</v>
          </cell>
        </row>
        <row r="73">
          <cell r="S73">
            <v>0</v>
          </cell>
        </row>
        <row r="75"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150680</v>
          </cell>
        </row>
        <row r="84">
          <cell r="S84">
            <v>0</v>
          </cell>
        </row>
        <row r="85">
          <cell r="S85">
            <v>0</v>
          </cell>
        </row>
        <row r="87">
          <cell r="S87">
            <v>13658</v>
          </cell>
        </row>
        <row r="88">
          <cell r="S88">
            <v>108711</v>
          </cell>
        </row>
        <row r="94">
          <cell r="S94">
            <v>3452937</v>
          </cell>
        </row>
        <row r="95">
          <cell r="S95">
            <v>577346</v>
          </cell>
        </row>
        <row r="96">
          <cell r="S96">
            <v>4030283</v>
          </cell>
        </row>
        <row r="99">
          <cell r="S99">
            <v>0</v>
          </cell>
        </row>
        <row r="100">
          <cell r="S100">
            <v>0</v>
          </cell>
        </row>
        <row r="101">
          <cell r="S101">
            <v>0</v>
          </cell>
        </row>
        <row r="102">
          <cell r="S102">
            <v>0</v>
          </cell>
        </row>
        <row r="103">
          <cell r="S103">
            <v>0</v>
          </cell>
        </row>
        <row r="104">
          <cell r="S104">
            <v>293</v>
          </cell>
        </row>
        <row r="105">
          <cell r="S105">
            <v>224466</v>
          </cell>
        </row>
        <row r="106">
          <cell r="S106">
            <v>0</v>
          </cell>
        </row>
        <row r="109">
          <cell r="S109">
            <v>0</v>
          </cell>
        </row>
        <row r="110">
          <cell r="S110">
            <v>0</v>
          </cell>
        </row>
        <row r="111">
          <cell r="S111">
            <v>0</v>
          </cell>
        </row>
        <row r="112">
          <cell r="S112">
            <v>0</v>
          </cell>
        </row>
        <row r="113">
          <cell r="S113">
            <v>0</v>
          </cell>
        </row>
        <row r="114">
          <cell r="S114">
            <v>0</v>
          </cell>
        </row>
        <row r="115">
          <cell r="S115">
            <v>3118181</v>
          </cell>
        </row>
        <row r="116">
          <cell r="S116">
            <v>0</v>
          </cell>
        </row>
        <row r="119">
          <cell r="S119">
            <v>0</v>
          </cell>
        </row>
        <row r="120">
          <cell r="S120">
            <v>0</v>
          </cell>
        </row>
        <row r="121">
          <cell r="S121">
            <v>0</v>
          </cell>
        </row>
        <row r="122">
          <cell r="S122">
            <v>0</v>
          </cell>
        </row>
        <row r="123">
          <cell r="S123">
            <v>0</v>
          </cell>
        </row>
        <row r="124">
          <cell r="S124">
            <v>0</v>
          </cell>
        </row>
        <row r="125">
          <cell r="S125">
            <v>109997</v>
          </cell>
        </row>
        <row r="126">
          <cell r="S126">
            <v>0</v>
          </cell>
        </row>
        <row r="129">
          <cell r="S129">
            <v>0</v>
          </cell>
        </row>
        <row r="130">
          <cell r="S130">
            <v>0</v>
          </cell>
        </row>
        <row r="131">
          <cell r="S131">
            <v>577346</v>
          </cell>
        </row>
        <row r="132">
          <cell r="S132">
            <v>0</v>
          </cell>
        </row>
        <row r="133">
          <cell r="S133">
            <v>0</v>
          </cell>
        </row>
        <row r="135">
          <cell r="S135">
            <v>900000</v>
          </cell>
        </row>
        <row r="136">
          <cell r="S136">
            <v>255547</v>
          </cell>
        </row>
        <row r="138">
          <cell r="S138">
            <v>378735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- 2019"/>
      <sheetName val="2007 - 2014"/>
    </sheetNames>
    <sheetDataSet>
      <sheetData sheetId="0">
        <row r="7">
          <cell r="T7">
            <v>79603</v>
          </cell>
        </row>
        <row r="8">
          <cell r="T8">
            <v>4142289</v>
          </cell>
        </row>
        <row r="10">
          <cell r="T10">
            <v>71415</v>
          </cell>
        </row>
        <row r="11">
          <cell r="T11">
            <v>63091</v>
          </cell>
        </row>
        <row r="12">
          <cell r="T12">
            <v>0</v>
          </cell>
        </row>
        <row r="15">
          <cell r="T15">
            <v>2847976</v>
          </cell>
        </row>
        <row r="16">
          <cell r="T16">
            <v>1159807</v>
          </cell>
        </row>
        <row r="17">
          <cell r="T17">
            <v>0</v>
          </cell>
        </row>
        <row r="18">
          <cell r="T18">
            <v>0</v>
          </cell>
        </row>
        <row r="19">
          <cell r="T19">
            <v>0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2">
          <cell r="T32">
            <v>619448</v>
          </cell>
        </row>
        <row r="33">
          <cell r="T33">
            <v>309390</v>
          </cell>
        </row>
        <row r="34">
          <cell r="T34">
            <v>349359</v>
          </cell>
        </row>
        <row r="35">
          <cell r="T35">
            <v>51989</v>
          </cell>
        </row>
        <row r="36">
          <cell r="T36">
            <v>2780771</v>
          </cell>
        </row>
        <row r="40">
          <cell r="T40">
            <v>100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8588</v>
          </cell>
        </row>
        <row r="44">
          <cell r="T44">
            <v>0</v>
          </cell>
        </row>
        <row r="47">
          <cell r="T47">
            <v>77623</v>
          </cell>
        </row>
        <row r="48">
          <cell r="T48">
            <v>0</v>
          </cell>
        </row>
        <row r="49">
          <cell r="T49">
            <v>45</v>
          </cell>
        </row>
        <row r="50">
          <cell r="T50">
            <v>0</v>
          </cell>
        </row>
        <row r="51">
          <cell r="T51">
            <v>0</v>
          </cell>
        </row>
        <row r="57">
          <cell r="T57">
            <v>257709</v>
          </cell>
        </row>
        <row r="58">
          <cell r="T58">
            <v>59250</v>
          </cell>
        </row>
        <row r="60">
          <cell r="T60">
            <v>311488</v>
          </cell>
        </row>
        <row r="61">
          <cell r="T61">
            <v>137574</v>
          </cell>
        </row>
        <row r="62">
          <cell r="T62">
            <v>729261</v>
          </cell>
        </row>
        <row r="65">
          <cell r="T65">
            <v>0</v>
          </cell>
        </row>
        <row r="66">
          <cell r="T66">
            <v>4</v>
          </cell>
        </row>
        <row r="67">
          <cell r="T67">
            <v>0</v>
          </cell>
        </row>
        <row r="69">
          <cell r="T69">
            <v>3303</v>
          </cell>
        </row>
        <row r="70">
          <cell r="T70">
            <v>3893</v>
          </cell>
        </row>
        <row r="71">
          <cell r="T71">
            <v>32</v>
          </cell>
        </row>
        <row r="72">
          <cell r="T72">
            <v>33517</v>
          </cell>
        </row>
        <row r="73">
          <cell r="T73">
            <v>1560</v>
          </cell>
        </row>
        <row r="75">
          <cell r="T75">
            <v>2169986</v>
          </cell>
        </row>
        <row r="76">
          <cell r="T76">
            <v>69065</v>
          </cell>
        </row>
        <row r="77">
          <cell r="T77">
            <v>5283</v>
          </cell>
        </row>
        <row r="78">
          <cell r="T78">
            <v>239163</v>
          </cell>
        </row>
        <row r="81">
          <cell r="T81">
            <v>31700</v>
          </cell>
        </row>
        <row r="82">
          <cell r="T82">
            <v>60</v>
          </cell>
        </row>
        <row r="83">
          <cell r="T83">
            <v>80916</v>
          </cell>
        </row>
        <row r="84">
          <cell r="T84">
            <v>1147124</v>
          </cell>
        </row>
        <row r="85">
          <cell r="T85">
            <v>506282</v>
          </cell>
        </row>
        <row r="87">
          <cell r="T87">
            <v>276213</v>
          </cell>
        </row>
        <row r="88">
          <cell r="T88">
            <v>210146</v>
          </cell>
        </row>
        <row r="94">
          <cell r="T94">
            <v>9386459</v>
          </cell>
        </row>
        <row r="95">
          <cell r="T95">
            <v>3003472</v>
          </cell>
        </row>
        <row r="96">
          <cell r="T96">
            <v>12389931</v>
          </cell>
        </row>
        <row r="99">
          <cell r="T99">
            <v>38015</v>
          </cell>
        </row>
        <row r="100">
          <cell r="T100">
            <v>137776</v>
          </cell>
        </row>
        <row r="101">
          <cell r="T101">
            <v>1222152</v>
          </cell>
        </row>
        <row r="102">
          <cell r="T102">
            <v>6</v>
          </cell>
        </row>
        <row r="103">
          <cell r="T103">
            <v>51967</v>
          </cell>
        </row>
        <row r="104">
          <cell r="T104">
            <v>49523</v>
          </cell>
        </row>
        <row r="105">
          <cell r="T105">
            <v>1423562</v>
          </cell>
        </row>
        <row r="106">
          <cell r="T106">
            <v>481738</v>
          </cell>
        </row>
        <row r="109">
          <cell r="T109">
            <v>42</v>
          </cell>
        </row>
        <row r="110">
          <cell r="T110">
            <v>17012</v>
          </cell>
        </row>
        <row r="111">
          <cell r="T111">
            <v>835621</v>
          </cell>
        </row>
        <row r="112">
          <cell r="T112">
            <v>13930</v>
          </cell>
        </row>
        <row r="113">
          <cell r="T113">
            <v>56033</v>
          </cell>
        </row>
        <row r="114">
          <cell r="T114">
            <v>5961</v>
          </cell>
        </row>
        <row r="115">
          <cell r="T115">
            <v>1154857</v>
          </cell>
        </row>
        <row r="116">
          <cell r="T116">
            <v>1483155</v>
          </cell>
        </row>
        <row r="119">
          <cell r="T119">
            <v>756561</v>
          </cell>
        </row>
        <row r="120">
          <cell r="T120">
            <v>279268</v>
          </cell>
        </row>
        <row r="121">
          <cell r="T121">
            <v>337959</v>
          </cell>
        </row>
        <row r="122">
          <cell r="T122">
            <v>8071</v>
          </cell>
        </row>
        <row r="123">
          <cell r="T123">
            <v>14759</v>
          </cell>
        </row>
        <row r="124">
          <cell r="T124">
            <v>6480</v>
          </cell>
        </row>
        <row r="125">
          <cell r="T125">
            <v>418552</v>
          </cell>
        </row>
        <row r="126">
          <cell r="T126">
            <v>593459</v>
          </cell>
        </row>
        <row r="129">
          <cell r="T129">
            <v>1234978</v>
          </cell>
        </row>
        <row r="130">
          <cell r="T130">
            <v>76240</v>
          </cell>
        </row>
        <row r="131">
          <cell r="T131">
            <v>417799</v>
          </cell>
        </row>
        <row r="132">
          <cell r="T132">
            <v>608615</v>
          </cell>
        </row>
        <row r="133">
          <cell r="T133">
            <v>665840</v>
          </cell>
        </row>
        <row r="135">
          <cell r="T135">
            <v>0</v>
          </cell>
        </row>
        <row r="136">
          <cell r="T136">
            <v>253287</v>
          </cell>
        </row>
        <row r="138">
          <cell r="T138">
            <v>2049516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9"/>
      <sheetName val="2007-2014"/>
    </sheetNames>
    <sheetDataSet>
      <sheetData sheetId="0">
        <row r="7">
          <cell r="T7">
            <v>119</v>
          </cell>
        </row>
        <row r="8">
          <cell r="T8">
            <v>2682003</v>
          </cell>
        </row>
        <row r="10">
          <cell r="T10">
            <v>9612</v>
          </cell>
        </row>
        <row r="11">
          <cell r="T11">
            <v>372</v>
          </cell>
        </row>
        <row r="12">
          <cell r="T12">
            <v>0</v>
          </cell>
        </row>
        <row r="15">
          <cell r="T15">
            <v>2664702</v>
          </cell>
        </row>
        <row r="16">
          <cell r="T16">
            <v>7299</v>
          </cell>
        </row>
        <row r="17">
          <cell r="T17">
            <v>18</v>
          </cell>
        </row>
        <row r="18">
          <cell r="T18">
            <v>0</v>
          </cell>
        </row>
        <row r="19">
          <cell r="T19">
            <v>0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2">
          <cell r="T32">
            <v>1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70494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34686</v>
          </cell>
        </row>
        <row r="44">
          <cell r="T44">
            <v>0</v>
          </cell>
        </row>
        <row r="47">
          <cell r="T47">
            <v>50395</v>
          </cell>
        </row>
        <row r="48">
          <cell r="T48">
            <v>40592</v>
          </cell>
        </row>
        <row r="49">
          <cell r="T49">
            <v>21747</v>
          </cell>
        </row>
        <row r="50">
          <cell r="T50">
            <v>0</v>
          </cell>
        </row>
        <row r="51">
          <cell r="T51">
            <v>0</v>
          </cell>
        </row>
        <row r="57">
          <cell r="T57">
            <v>0</v>
          </cell>
        </row>
        <row r="58">
          <cell r="T58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632694</v>
          </cell>
        </row>
        <row r="73">
          <cell r="T73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277058</v>
          </cell>
        </row>
        <row r="84">
          <cell r="T84">
            <v>0</v>
          </cell>
        </row>
        <row r="85">
          <cell r="T85">
            <v>0</v>
          </cell>
        </row>
        <row r="87">
          <cell r="T87">
            <v>12917</v>
          </cell>
        </row>
        <row r="88">
          <cell r="T88">
            <v>107023</v>
          </cell>
        </row>
        <row r="94">
          <cell r="T94">
            <v>2803194</v>
          </cell>
        </row>
        <row r="95">
          <cell r="T95">
            <v>534105</v>
          </cell>
        </row>
        <row r="96">
          <cell r="T96">
            <v>3337299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116</v>
          </cell>
        </row>
        <row r="105">
          <cell r="T105">
            <v>249980</v>
          </cell>
        </row>
        <row r="106">
          <cell r="T106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2532455</v>
          </cell>
        </row>
        <row r="116">
          <cell r="T116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20643</v>
          </cell>
        </row>
        <row r="126">
          <cell r="T126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534105</v>
          </cell>
        </row>
        <row r="132">
          <cell r="T132">
            <v>0</v>
          </cell>
        </row>
        <row r="133">
          <cell r="T133">
            <v>0</v>
          </cell>
        </row>
        <row r="135">
          <cell r="T135">
            <v>35252</v>
          </cell>
        </row>
        <row r="136">
          <cell r="T136">
            <v>163743</v>
          </cell>
        </row>
        <row r="138">
          <cell r="T138">
            <v>393435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- 2019"/>
      <sheetName val="2007 - 2014"/>
    </sheetNames>
    <sheetDataSet>
      <sheetData sheetId="0">
        <row r="7">
          <cell r="U7">
            <v>73566</v>
          </cell>
        </row>
        <row r="8">
          <cell r="U8">
            <v>5630961</v>
          </cell>
        </row>
        <row r="10">
          <cell r="U10">
            <v>56338</v>
          </cell>
        </row>
        <row r="11">
          <cell r="U11">
            <v>49109</v>
          </cell>
        </row>
        <row r="12">
          <cell r="U12">
            <v>0</v>
          </cell>
        </row>
        <row r="15">
          <cell r="U15">
            <v>4272882</v>
          </cell>
        </row>
        <row r="16">
          <cell r="U16">
            <v>1252632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2">
          <cell r="U32">
            <v>635349</v>
          </cell>
        </row>
        <row r="33">
          <cell r="U33">
            <v>185879</v>
          </cell>
        </row>
        <row r="34">
          <cell r="U34">
            <v>369655</v>
          </cell>
        </row>
        <row r="35">
          <cell r="U35">
            <v>52109</v>
          </cell>
        </row>
        <row r="36">
          <cell r="U36">
            <v>2974963</v>
          </cell>
        </row>
        <row r="40">
          <cell r="U40">
            <v>100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8637</v>
          </cell>
        </row>
        <row r="44">
          <cell r="U44">
            <v>0</v>
          </cell>
        </row>
        <row r="47">
          <cell r="U47">
            <v>77623</v>
          </cell>
        </row>
        <row r="48">
          <cell r="U48">
            <v>0</v>
          </cell>
        </row>
        <row r="49">
          <cell r="U49">
            <v>45</v>
          </cell>
        </row>
        <row r="50">
          <cell r="U50">
            <v>0</v>
          </cell>
        </row>
        <row r="51">
          <cell r="U51">
            <v>0</v>
          </cell>
        </row>
        <row r="57">
          <cell r="U57">
            <v>243379</v>
          </cell>
        </row>
        <row r="58">
          <cell r="U58">
            <v>46285</v>
          </cell>
        </row>
        <row r="60">
          <cell r="U60">
            <v>324076</v>
          </cell>
        </row>
        <row r="61">
          <cell r="U61">
            <v>145326</v>
          </cell>
        </row>
        <row r="62">
          <cell r="U62">
            <v>760276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47473</v>
          </cell>
        </row>
        <row r="69">
          <cell r="U69">
            <v>3116</v>
          </cell>
        </row>
        <row r="70">
          <cell r="U70">
            <v>2730</v>
          </cell>
        </row>
        <row r="71">
          <cell r="U71">
            <v>0</v>
          </cell>
        </row>
        <row r="72">
          <cell r="U72">
            <v>27601</v>
          </cell>
        </row>
        <row r="73">
          <cell r="U73">
            <v>2142</v>
          </cell>
        </row>
        <row r="75">
          <cell r="U75">
            <v>2195693</v>
          </cell>
        </row>
        <row r="76">
          <cell r="U76">
            <v>69252</v>
          </cell>
        </row>
        <row r="77">
          <cell r="U77">
            <v>5395</v>
          </cell>
        </row>
        <row r="78">
          <cell r="U78">
            <v>243968</v>
          </cell>
        </row>
        <row r="81">
          <cell r="U81">
            <v>33471</v>
          </cell>
        </row>
        <row r="82">
          <cell r="U82">
            <v>0</v>
          </cell>
        </row>
        <row r="83">
          <cell r="U83">
            <v>79720</v>
          </cell>
        </row>
        <row r="84">
          <cell r="U84">
            <v>988931</v>
          </cell>
        </row>
        <row r="85">
          <cell r="U85">
            <v>532319</v>
          </cell>
        </row>
        <row r="87">
          <cell r="U87">
            <v>211710</v>
          </cell>
        </row>
        <row r="88">
          <cell r="U88">
            <v>155183</v>
          </cell>
        </row>
        <row r="94">
          <cell r="U94">
            <v>9295081</v>
          </cell>
        </row>
        <row r="95">
          <cell r="U95">
            <v>4556856</v>
          </cell>
        </row>
        <row r="96">
          <cell r="U96">
            <v>13851937</v>
          </cell>
        </row>
        <row r="99">
          <cell r="U99">
            <v>58433</v>
          </cell>
        </row>
        <row r="100">
          <cell r="U100">
            <v>131008</v>
          </cell>
        </row>
        <row r="101">
          <cell r="U101">
            <v>1357965</v>
          </cell>
        </row>
        <row r="102">
          <cell r="U102">
            <v>6</v>
          </cell>
        </row>
        <row r="103">
          <cell r="U103">
            <v>26527</v>
          </cell>
        </row>
        <row r="104">
          <cell r="U104">
            <v>49950</v>
          </cell>
        </row>
        <row r="105">
          <cell r="U105">
            <v>1424987</v>
          </cell>
        </row>
        <row r="106">
          <cell r="U106">
            <v>507400</v>
          </cell>
        </row>
        <row r="109">
          <cell r="U109">
            <v>20</v>
          </cell>
        </row>
        <row r="110">
          <cell r="U110">
            <v>16625</v>
          </cell>
        </row>
        <row r="111">
          <cell r="U111">
            <v>821649</v>
          </cell>
        </row>
        <row r="112">
          <cell r="U112">
            <v>13830</v>
          </cell>
        </row>
        <row r="113">
          <cell r="U113">
            <v>45841</v>
          </cell>
        </row>
        <row r="114">
          <cell r="U114">
            <v>4570</v>
          </cell>
        </row>
        <row r="115">
          <cell r="U115">
            <v>1229327</v>
          </cell>
        </row>
        <row r="116">
          <cell r="U116">
            <v>1477885</v>
          </cell>
        </row>
        <row r="119">
          <cell r="U119">
            <v>644693</v>
          </cell>
        </row>
        <row r="120">
          <cell r="U120">
            <v>124653</v>
          </cell>
        </row>
        <row r="121">
          <cell r="U121">
            <v>332848</v>
          </cell>
        </row>
        <row r="122">
          <cell r="U122">
            <v>8072</v>
          </cell>
        </row>
        <row r="123">
          <cell r="U123">
            <v>12987</v>
          </cell>
        </row>
        <row r="124">
          <cell r="U124">
            <v>48795</v>
          </cell>
        </row>
        <row r="125">
          <cell r="U125">
            <v>375961</v>
          </cell>
        </row>
        <row r="126">
          <cell r="U126">
            <v>581049</v>
          </cell>
        </row>
        <row r="129">
          <cell r="U129">
            <v>1448705</v>
          </cell>
        </row>
        <row r="130">
          <cell r="U130">
            <v>65223</v>
          </cell>
        </row>
        <row r="131">
          <cell r="U131">
            <v>394787</v>
          </cell>
        </row>
        <row r="132">
          <cell r="U132">
            <v>1973734</v>
          </cell>
        </row>
        <row r="133">
          <cell r="U133">
            <v>674407</v>
          </cell>
        </row>
        <row r="135">
          <cell r="U135">
            <v>0</v>
          </cell>
        </row>
        <row r="136">
          <cell r="U136">
            <v>270865</v>
          </cell>
        </row>
        <row r="138">
          <cell r="U138">
            <v>2004131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142"/>
  <sheetViews>
    <sheetView showGridLines="0" tabSelected="1" zoomScaleNormal="100" workbookViewId="0">
      <pane xSplit="2" topLeftCell="H1" activePane="topRight" state="frozen"/>
      <selection pane="topRight" activeCell="V3" sqref="V3"/>
    </sheetView>
  </sheetViews>
  <sheetFormatPr defaultColWidth="13" defaultRowHeight="15.95" customHeight="1" x14ac:dyDescent="0.15"/>
  <cols>
    <col min="1" max="1" width="3.7109375" style="1" customWidth="1"/>
    <col min="2" max="2" width="66.7109375" style="2" customWidth="1"/>
    <col min="3" max="6" width="12.7109375" style="3" customWidth="1"/>
    <col min="7" max="11" width="12.7109375" style="2" customWidth="1"/>
    <col min="12" max="16384" width="13" style="2"/>
  </cols>
  <sheetData>
    <row r="1" spans="1:20" ht="44.1" customHeight="1" x14ac:dyDescent="0.15"/>
    <row r="2" spans="1:20" ht="24" customHeight="1" thickBot="1" x14ac:dyDescent="0.2"/>
    <row r="3" spans="1:20" ht="15.95" customHeight="1" thickBot="1" x14ac:dyDescent="0.2">
      <c r="B3" s="152" t="s">
        <v>100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4"/>
    </row>
    <row r="4" spans="1:20" ht="12" customHeight="1" thickBot="1" x14ac:dyDescent="0.2"/>
    <row r="5" spans="1:20" ht="18.95" customHeight="1" thickBot="1" x14ac:dyDescent="0.25">
      <c r="B5" s="149" t="s">
        <v>26</v>
      </c>
      <c r="C5" s="148" t="s">
        <v>95</v>
      </c>
      <c r="D5" s="148" t="s">
        <v>96</v>
      </c>
      <c r="E5" s="148" t="s">
        <v>97</v>
      </c>
      <c r="F5" s="148" t="s">
        <v>98</v>
      </c>
      <c r="G5" s="148" t="s">
        <v>99</v>
      </c>
      <c r="H5" s="148" t="s">
        <v>103</v>
      </c>
      <c r="I5" s="148" t="s">
        <v>104</v>
      </c>
      <c r="J5" s="148" t="s">
        <v>105</v>
      </c>
      <c r="K5" s="148" t="s">
        <v>106</v>
      </c>
      <c r="L5" s="148" t="s">
        <v>107</v>
      </c>
      <c r="M5" s="148" t="s">
        <v>108</v>
      </c>
      <c r="N5" s="148" t="s">
        <v>109</v>
      </c>
      <c r="O5" s="148" t="s">
        <v>110</v>
      </c>
      <c r="P5" s="148" t="s">
        <v>111</v>
      </c>
      <c r="Q5" s="148" t="s">
        <v>112</v>
      </c>
      <c r="R5" s="148" t="s">
        <v>113</v>
      </c>
      <c r="S5" s="148" t="s">
        <v>114</v>
      </c>
      <c r="T5" s="132" t="s">
        <v>115</v>
      </c>
    </row>
    <row r="6" spans="1:20" ht="19.5" customHeight="1" x14ac:dyDescent="0.2">
      <c r="A6" s="4">
        <v>1</v>
      </c>
      <c r="B6" s="5" t="s">
        <v>34</v>
      </c>
      <c r="C6" s="6"/>
      <c r="D6" s="6"/>
      <c r="E6" s="6"/>
      <c r="F6" s="6"/>
    </row>
    <row r="7" spans="1:20" ht="15.95" customHeight="1" x14ac:dyDescent="0.15">
      <c r="B7" s="7" t="s">
        <v>85</v>
      </c>
      <c r="C7" s="19">
        <f>171+63327</f>
        <v>63498</v>
      </c>
      <c r="D7" s="19">
        <f>58696+172</f>
        <v>58868</v>
      </c>
      <c r="E7" s="19">
        <f>61922+170</f>
        <v>62092</v>
      </c>
      <c r="F7" s="19">
        <f>('[1]2015 - 2018'!R7)+('[2]2015-2018'!R7)</f>
        <v>71311</v>
      </c>
      <c r="G7" s="19">
        <f>122+67151</f>
        <v>67273</v>
      </c>
      <c r="H7" s="19">
        <f>62286+115</f>
        <v>62401</v>
      </c>
      <c r="I7" s="19">
        <f>58413+118</f>
        <v>58531</v>
      </c>
      <c r="J7" s="19">
        <f>'[3]2015 - 2019'!R7+'[4]2015-2019'!R7</f>
        <v>84334</v>
      </c>
      <c r="K7" s="19">
        <f>'[5]2015 - 2019'!S7+'[6]2015-2019'!S7</f>
        <v>111123</v>
      </c>
      <c r="L7" s="19">
        <f>'[7]2015 - 2019'!T7+'[8]2015-2019'!T7</f>
        <v>79722</v>
      </c>
      <c r="M7" s="19">
        <f>'[9]2015 - 2019'!U7+'[10]2015-2019'!U7</f>
        <v>73685</v>
      </c>
      <c r="N7" s="19">
        <f>'[11]2015 - 2019'!V7+'[12]2015-2019'!V7</f>
        <v>86584.731</v>
      </c>
      <c r="O7" s="19">
        <f>'[13]2015 - 2019'!W7+'[14]2016-2021'!W7</f>
        <v>75741.524750000011</v>
      </c>
      <c r="P7" s="19">
        <f>'[15]2016 - 2021'!X7+'[16]2016-2021'!X7</f>
        <v>83916.54127999999</v>
      </c>
      <c r="Q7" s="19">
        <f>'[17]2016 - 2021'!Y7+'[18]2016-2021'!Y7</f>
        <v>78632.282489999998</v>
      </c>
      <c r="R7" s="19">
        <f>'[19]2016 - 2021'!Z7+'[20]2016-2021'!Z7</f>
        <v>84197.319560000004</v>
      </c>
      <c r="S7" s="19">
        <f>'[21]2018 - 2022'!S7+'[22]2018-2022'!S7</f>
        <v>87916.272769999996</v>
      </c>
      <c r="T7" s="19">
        <f>'[23]2018 - 2022'!T7+'[24]2018-2022'!T7</f>
        <v>87773.914339999988</v>
      </c>
    </row>
    <row r="8" spans="1:20" ht="15.95" customHeight="1" x14ac:dyDescent="0.15">
      <c r="B8" s="9" t="s">
        <v>35</v>
      </c>
      <c r="C8" s="19">
        <f>4288049+5646026</f>
        <v>9934075</v>
      </c>
      <c r="D8" s="19">
        <f>4538219+4001624</f>
        <v>8539843</v>
      </c>
      <c r="E8" s="19">
        <f>4396746+3404049</f>
        <v>7800795</v>
      </c>
      <c r="F8" s="19">
        <f>('[1]2015 - 2018'!R8)+('[2]2015-2018'!R8)</f>
        <v>8624458</v>
      </c>
      <c r="G8" s="19">
        <f>3710975+5252696</f>
        <v>8963671</v>
      </c>
      <c r="H8" s="19">
        <f>5147804+3426181</f>
        <v>8573985</v>
      </c>
      <c r="I8" s="19">
        <f>4956148+3207486</f>
        <v>8163634</v>
      </c>
      <c r="J8" s="19">
        <f>'[3]2015 - 2019'!R8+'[4]2015-2019'!R8</f>
        <v>8865754</v>
      </c>
      <c r="K8" s="19">
        <f>'[5]2015 - 2019'!S8+'[6]2015-2019'!S8</f>
        <v>8392524</v>
      </c>
      <c r="L8" s="19">
        <f>'[7]2015 - 2019'!T8+'[8]2015-2019'!T8</f>
        <v>6824292</v>
      </c>
      <c r="M8" s="19">
        <f>'[9]2015 - 2019'!U8+'[10]2015-2019'!U8</f>
        <v>8325178</v>
      </c>
      <c r="N8" s="19">
        <f>'[11]2015 - 2019'!V8+'[12]2015-2019'!V8</f>
        <v>8963567.8680000007</v>
      </c>
      <c r="O8" s="19">
        <f>'[13]2015 - 2019'!W8+'[14]2016-2021'!W8</f>
        <v>8727631.7376899999</v>
      </c>
      <c r="P8" s="19">
        <f>'[15]2016 - 2021'!X8+'[16]2016-2021'!X8</f>
        <v>9949099.0049200021</v>
      </c>
      <c r="Q8" s="19">
        <f>'[17]2016 - 2021'!Y8+'[18]2016-2021'!Y8</f>
        <v>10030973.909820002</v>
      </c>
      <c r="R8" s="19">
        <f>'[19]2016 - 2021'!Z8+'[20]2016-2021'!Z8</f>
        <v>8908858.5656600017</v>
      </c>
      <c r="S8" s="19">
        <f>'[21]2018 - 2022'!S8+'[22]2018-2022'!S8</f>
        <v>10184166.210269999</v>
      </c>
      <c r="T8" s="19">
        <f>'[23]2018 - 2022'!T8+'[24]2018-2022'!T8</f>
        <v>8663548.9534099996</v>
      </c>
    </row>
    <row r="9" spans="1:20" ht="15.95" customHeight="1" x14ac:dyDescent="0.15">
      <c r="B9" s="10" t="s">
        <v>36</v>
      </c>
      <c r="C9" s="19">
        <f>C10+C11+C12</f>
        <v>188176</v>
      </c>
      <c r="D9" s="19">
        <f>D10+D11+D12</f>
        <v>221265</v>
      </c>
      <c r="E9" s="19">
        <f>60837+111250</f>
        <v>172087</v>
      </c>
      <c r="F9" s="19">
        <f>F10+F11+F12</f>
        <v>366544</v>
      </c>
      <c r="G9" s="19">
        <f t="shared" ref="G9:H9" si="0">G10+G11+G12</f>
        <v>205412</v>
      </c>
      <c r="H9" s="19">
        <f t="shared" si="0"/>
        <v>239625</v>
      </c>
      <c r="I9" s="19">
        <f t="shared" ref="I9:J9" si="1">I10+I11+I12</f>
        <v>224302</v>
      </c>
      <c r="J9" s="19">
        <f t="shared" si="1"/>
        <v>310589</v>
      </c>
      <c r="K9" s="19">
        <f t="shared" ref="K9:L9" si="2">K10+K11+K12</f>
        <v>217453</v>
      </c>
      <c r="L9" s="19">
        <f t="shared" si="2"/>
        <v>144490</v>
      </c>
      <c r="M9" s="19">
        <f t="shared" ref="M9:N9" si="3">M10+M11+M12</f>
        <v>153308</v>
      </c>
      <c r="N9" s="19">
        <f t="shared" si="3"/>
        <v>135608.75599999999</v>
      </c>
      <c r="O9" s="19">
        <f t="shared" ref="O9:P9" si="4">O10+O11+O12</f>
        <v>112852.46544</v>
      </c>
      <c r="P9" s="19">
        <f t="shared" si="4"/>
        <v>122445.55776</v>
      </c>
      <c r="Q9" s="19">
        <f t="shared" ref="Q9:R9" si="5">Q10+Q11+Q12</f>
        <v>83310.961249999993</v>
      </c>
      <c r="R9" s="19">
        <f t="shared" si="5"/>
        <v>141131.89032000001</v>
      </c>
      <c r="S9" s="19">
        <f t="shared" ref="S9:T9" si="6">S10+S11+S12</f>
        <v>129502.42284</v>
      </c>
      <c r="T9" s="19">
        <f t="shared" si="6"/>
        <v>119447.29466</v>
      </c>
    </row>
    <row r="10" spans="1:20" ht="15" customHeight="1" x14ac:dyDescent="0.15">
      <c r="B10" s="12" t="s">
        <v>45</v>
      </c>
      <c r="C10" s="32">
        <f>14198+100569</f>
        <v>114767</v>
      </c>
      <c r="D10" s="32">
        <f>39238+9777</f>
        <v>49015</v>
      </c>
      <c r="E10" s="32">
        <f>60837+41952</f>
        <v>102789</v>
      </c>
      <c r="F10" s="32">
        <f>('[1]2015 - 2018'!R10)+('[2]2015-2018'!R10)</f>
        <v>97102</v>
      </c>
      <c r="G10" s="32">
        <f>37585+38833</f>
        <v>76418</v>
      </c>
      <c r="H10" s="32">
        <f>56063+40131</f>
        <v>96194</v>
      </c>
      <c r="I10" s="32">
        <f>52549+35754</f>
        <v>88303</v>
      </c>
      <c r="J10" s="32">
        <f>'[3]2015 - 2019'!R10+'[4]2015-2019'!R10</f>
        <v>59654</v>
      </c>
      <c r="K10" s="32">
        <f>'[5]2015 - 2019'!S10+'[6]2015-2019'!S10</f>
        <v>47606</v>
      </c>
      <c r="L10" s="32">
        <f>'[7]2015 - 2019'!T10+'[8]2015-2019'!T10</f>
        <v>81027</v>
      </c>
      <c r="M10" s="32">
        <f>'[9]2015 - 2019'!U10+'[10]2015-2019'!U10</f>
        <v>104199</v>
      </c>
      <c r="N10" s="32">
        <f>'[11]2015 - 2019'!V10+'[12]2015-2019'!V10</f>
        <v>78948.035000000003</v>
      </c>
      <c r="O10" s="32">
        <f>'[13]2015 - 2019'!W10+'[14]2016-2021'!W10</f>
        <v>87296.226439999999</v>
      </c>
      <c r="P10" s="32">
        <f>'[15]2016 - 2021'!X10+'[16]2016-2021'!X10</f>
        <v>95193.910759999999</v>
      </c>
      <c r="Q10" s="32">
        <f>'[17]2016 - 2021'!Y10+'[18]2016-2021'!Y10</f>
        <v>53502.19025</v>
      </c>
      <c r="R10" s="32">
        <f>'[19]2016 - 2021'!Z10+'[20]2016-2021'!Z10</f>
        <v>70973.82931999999</v>
      </c>
      <c r="S10" s="32">
        <f>'[21]2018 - 2022'!S10+'[22]2018-2022'!S10</f>
        <v>61529.775840000002</v>
      </c>
      <c r="T10" s="32">
        <f>'[23]2018 - 2022'!T10+'[24]2018-2022'!T10</f>
        <v>73083.934659999999</v>
      </c>
    </row>
    <row r="11" spans="1:20" ht="15" customHeight="1" x14ac:dyDescent="0.15">
      <c r="B11" s="12" t="s">
        <v>44</v>
      </c>
      <c r="C11" s="32">
        <f>41741+31668</f>
        <v>73409</v>
      </c>
      <c r="D11" s="32">
        <f>18000+154250</f>
        <v>172250</v>
      </c>
      <c r="E11" s="32">
        <f>0+69298</f>
        <v>69298</v>
      </c>
      <c r="F11" s="32">
        <f>('[1]2015 - 2018'!R11)+('[2]2015-2018'!R11)</f>
        <v>269442</v>
      </c>
      <c r="G11" s="32">
        <f>78434+50560</f>
        <v>128994</v>
      </c>
      <c r="H11" s="32">
        <f>39498+103933</f>
        <v>143431</v>
      </c>
      <c r="I11" s="32">
        <f>29209+106790</f>
        <v>135999</v>
      </c>
      <c r="J11" s="32">
        <f>'[3]2015 - 2019'!R11+'[4]2015-2019'!R11</f>
        <v>250935</v>
      </c>
      <c r="K11" s="32">
        <f>'[5]2015 - 2019'!S11+'[6]2015-2019'!S11</f>
        <v>169847</v>
      </c>
      <c r="L11" s="32">
        <f>'[7]2015 - 2019'!T11+'[8]2015-2019'!T11</f>
        <v>63463</v>
      </c>
      <c r="M11" s="32">
        <f>'[9]2015 - 2019'!U11+'[10]2015-2019'!U11</f>
        <v>49109</v>
      </c>
      <c r="N11" s="32">
        <f>'[11]2015 - 2019'!V11+'[12]2015-2019'!V11</f>
        <v>56660.721000000005</v>
      </c>
      <c r="O11" s="32">
        <f>'[13]2015 - 2019'!W11+'[14]2016-2021'!W11</f>
        <v>25556.239000000001</v>
      </c>
      <c r="P11" s="32">
        <f>'[15]2016 - 2021'!X11+'[16]2016-2021'!X11</f>
        <v>27251.647000000001</v>
      </c>
      <c r="Q11" s="32">
        <f>'[17]2016 - 2021'!Y11+'[18]2016-2021'!Y11</f>
        <v>29808.771000000001</v>
      </c>
      <c r="R11" s="32">
        <f>'[19]2016 - 2021'!Z11+'[20]2016-2021'!Z11</f>
        <v>70158.061000000002</v>
      </c>
      <c r="S11" s="32">
        <f>'[21]2018 - 2022'!S11+'[22]2018-2022'!S11</f>
        <v>67972.646999999997</v>
      </c>
      <c r="T11" s="32">
        <f>'[23]2018 - 2022'!T11+'[24]2018-2022'!T11</f>
        <v>46363.360000000001</v>
      </c>
    </row>
    <row r="12" spans="1:20" ht="15" customHeight="1" x14ac:dyDescent="0.15">
      <c r="B12" s="12" t="s">
        <v>64</v>
      </c>
      <c r="C12" s="32">
        <v>0</v>
      </c>
      <c r="D12" s="32">
        <v>0</v>
      </c>
      <c r="E12" s="32">
        <v>0</v>
      </c>
      <c r="F12" s="32">
        <f>('[1]2015 - 2018'!R12)+('[2]2015-2018'!R12)</f>
        <v>0</v>
      </c>
      <c r="G12" s="32">
        <v>0</v>
      </c>
      <c r="H12" s="32">
        <v>0</v>
      </c>
      <c r="I12" s="32">
        <v>0</v>
      </c>
      <c r="J12" s="32">
        <f>'[3]2015 - 2019'!R12+'[4]2015-2019'!R12</f>
        <v>0</v>
      </c>
      <c r="K12" s="32">
        <f>'[5]2015 - 2019'!S12+'[6]2015-2019'!S12</f>
        <v>0</v>
      </c>
      <c r="L12" s="32">
        <f>'[7]2015 - 2019'!T12+'[8]2015-2019'!T12</f>
        <v>0</v>
      </c>
      <c r="M12" s="32">
        <f>'[9]2015 - 2019'!U12+'[10]2015-2019'!U12</f>
        <v>0</v>
      </c>
      <c r="N12" s="32">
        <f>'[11]2015 - 2019'!V12+'[12]2015-2019'!V12</f>
        <v>0</v>
      </c>
      <c r="O12" s="32">
        <f>'[13]2015 - 2019'!W12+'[14]2016-2021'!W12</f>
        <v>0</v>
      </c>
      <c r="P12" s="32">
        <f>'[15]2016 - 2021'!X12+'[16]2016-2021'!X12</f>
        <v>0</v>
      </c>
      <c r="Q12" s="32">
        <f>'[17]2016 - 2021'!Y12+'[18]2016-2021'!Y12</f>
        <v>0</v>
      </c>
      <c r="R12" s="32">
        <f>'[19]2016 - 2021'!Z12+'[20]2016-2021'!Z12</f>
        <v>0</v>
      </c>
      <c r="S12" s="32">
        <f>'[21]2018 - 2022'!S12+'[22]2018-2022'!S12</f>
        <v>0</v>
      </c>
      <c r="T12" s="32">
        <f>'[23]2018 - 2022'!T12+'[24]2018-2022'!T12</f>
        <v>0</v>
      </c>
    </row>
    <row r="13" spans="1:20" ht="13.5" customHeight="1" x14ac:dyDescent="0.15">
      <c r="B13" s="14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.95" customHeight="1" x14ac:dyDescent="0.15">
      <c r="B14" s="10" t="s">
        <v>38</v>
      </c>
      <c r="C14" s="19">
        <f t="shared" ref="C14:H14" si="7">+C15+C16+C17+C18+C19</f>
        <v>9745899</v>
      </c>
      <c r="D14" s="19">
        <f t="shared" si="7"/>
        <v>8318578</v>
      </c>
      <c r="E14" s="19">
        <f t="shared" si="7"/>
        <v>7628708</v>
      </c>
      <c r="F14" s="19">
        <f t="shared" si="7"/>
        <v>8257914</v>
      </c>
      <c r="G14" s="19">
        <f t="shared" si="7"/>
        <v>8758259</v>
      </c>
      <c r="H14" s="19">
        <f t="shared" si="7"/>
        <v>8334360</v>
      </c>
      <c r="I14" s="19">
        <f t="shared" ref="I14:J14" si="8">+I15+I16+I17+I18+I19</f>
        <v>7939332</v>
      </c>
      <c r="J14" s="19">
        <f t="shared" si="8"/>
        <v>8555165</v>
      </c>
      <c r="K14" s="19">
        <f t="shared" ref="K14:L14" si="9">+K15+K16+K17+K18+K19</f>
        <v>8175071</v>
      </c>
      <c r="L14" s="19">
        <f t="shared" si="9"/>
        <v>6679802</v>
      </c>
      <c r="M14" s="19">
        <f t="shared" ref="M14:N14" si="10">+M15+M16+M17+M18+M19</f>
        <v>8171870</v>
      </c>
      <c r="N14" s="19">
        <f t="shared" si="10"/>
        <v>8827959.1119999997</v>
      </c>
      <c r="O14" s="19">
        <f t="shared" ref="O14:P14" si="11">+O15+O16+O17+O18+O19</f>
        <v>8614779.2722500004</v>
      </c>
      <c r="P14" s="19">
        <f t="shared" si="11"/>
        <v>9826653.44716</v>
      </c>
      <c r="Q14" s="19">
        <f t="shared" ref="Q14:R14" si="12">+Q15+Q16+Q17+Q18+Q19</f>
        <v>9947662.94857</v>
      </c>
      <c r="R14" s="19">
        <f t="shared" si="12"/>
        <v>8767726.6753400005</v>
      </c>
      <c r="S14" s="19">
        <f t="shared" ref="S14:T14" si="13">+S15+S16+S17+S18+S19</f>
        <v>3333657.87934</v>
      </c>
      <c r="T14" s="19">
        <f t="shared" si="13"/>
        <v>8544101.6587499995</v>
      </c>
    </row>
    <row r="15" spans="1:20" ht="15" customHeight="1" x14ac:dyDescent="0.15">
      <c r="B15" s="16" t="s">
        <v>20</v>
      </c>
      <c r="C15" s="32">
        <f>4135571+3460144</f>
        <v>7595715</v>
      </c>
      <c r="D15" s="32">
        <f>2815809+3654875</f>
        <v>6470684</v>
      </c>
      <c r="E15" s="32">
        <f>2929935+3214052</f>
        <v>6143987</v>
      </c>
      <c r="F15" s="32">
        <f>('[1]2015 - 2018'!R15)+('[2]2015-2018'!R15)</f>
        <v>6422752</v>
      </c>
      <c r="G15" s="32">
        <f>3558432+3214403</f>
        <v>6772835</v>
      </c>
      <c r="H15" s="32">
        <f>3221463+3215573</f>
        <v>6437036</v>
      </c>
      <c r="I15" s="32">
        <f>2964088+2992312</f>
        <v>5956400</v>
      </c>
      <c r="J15" s="32">
        <f>'[3]2015 - 2019'!R15+'[4]2015-2019'!R15</f>
        <v>7301271</v>
      </c>
      <c r="K15" s="32">
        <f>'[5]2015 - 2019'!S15+'[6]2015-2019'!S15</f>
        <v>6996474</v>
      </c>
      <c r="L15" s="32">
        <f>'[7]2015 - 2019'!T15+'[8]2015-2019'!T15</f>
        <v>5512678</v>
      </c>
      <c r="M15" s="32">
        <f>'[9]2015 - 2019'!U15+'[10]2015-2019'!U15</f>
        <v>6856401</v>
      </c>
      <c r="N15" s="32">
        <f>'[11]2015 - 2019'!V15+'[12]2015-2019'!V15</f>
        <v>7292093.8819999993</v>
      </c>
      <c r="O15" s="32">
        <f>'[13]2015 - 2019'!W15+'[14]2016-2021'!W15</f>
        <v>6999716.0671500005</v>
      </c>
      <c r="P15" s="32">
        <f>'[15]2016 - 2021'!X15+'[16]2016-2021'!X15</f>
        <v>8033301.0091000004</v>
      </c>
      <c r="Q15" s="32">
        <f>'[17]2016 - 2021'!Y15+'[18]2016-2021'!Y15</f>
        <v>6694147.8699000003</v>
      </c>
      <c r="R15" s="32">
        <f>'[19]2016 - 2021'!Z15+'[20]2016-2021'!Z15</f>
        <v>7211525.5141200004</v>
      </c>
      <c r="S15" s="32">
        <f t="shared" ref="S15" si="14">S16+S17+S18</f>
        <v>1666828.93967</v>
      </c>
      <c r="T15" s="32">
        <f>'[23]2018 - 2022'!T15+'[24]2018-2022'!T15</f>
        <v>7005477.1954299994</v>
      </c>
    </row>
    <row r="16" spans="1:20" ht="15" customHeight="1" x14ac:dyDescent="0.15">
      <c r="B16" s="12" t="s">
        <v>47</v>
      </c>
      <c r="C16" s="32">
        <f>96539+2053645</f>
        <v>2150184</v>
      </c>
      <c r="D16" s="32">
        <f>1665172+182663</f>
        <v>1847835</v>
      </c>
      <c r="E16" s="32">
        <f>1405974+78680</f>
        <v>1484654</v>
      </c>
      <c r="F16" s="32">
        <f>('[1]2015 - 2018'!R16)+('[2]2015-2018'!R16)</f>
        <v>1835126</v>
      </c>
      <c r="G16" s="32">
        <f>36479+1948900</f>
        <v>1985379</v>
      </c>
      <c r="H16" s="32">
        <f>1830780+66497</f>
        <v>1897277</v>
      </c>
      <c r="I16" s="32">
        <f>1910302+72578</f>
        <v>1982880</v>
      </c>
      <c r="J16" s="32">
        <f>'[3]2015 - 2019'!R16+'[4]2015-2019'!R16</f>
        <v>1253888</v>
      </c>
      <c r="K16" s="32">
        <f>'[5]2015 - 2019'!S16+'[6]2015-2019'!S16</f>
        <v>1178585</v>
      </c>
      <c r="L16" s="32">
        <f>'[7]2015 - 2019'!T16+'[8]2015-2019'!T16</f>
        <v>1167106</v>
      </c>
      <c r="M16" s="32">
        <f>'[9]2015 - 2019'!U16+'[10]2015-2019'!U16</f>
        <v>1314945</v>
      </c>
      <c r="N16" s="32">
        <f>'[11]2015 - 2019'!V16+'[12]2015-2019'!V16</f>
        <v>1535776.23</v>
      </c>
      <c r="O16" s="32">
        <f>'[13]2015 - 2019'!W16+'[14]2016-2021'!W16</f>
        <v>1614965.2051000001</v>
      </c>
      <c r="P16" s="32">
        <f>'[15]2016 - 2021'!X16+'[16]2016-2021'!X16</f>
        <v>1791958.4070599999</v>
      </c>
      <c r="Q16" s="32">
        <f>'[17]2016 - 2021'!Y16+'[18]2016-2021'!Y16</f>
        <v>3251043.21606</v>
      </c>
      <c r="R16" s="32">
        <f>'[19]2016 - 2021'!Z16+'[20]2016-2021'!Z16</f>
        <v>1554028.2090799999</v>
      </c>
      <c r="S16" s="32">
        <f>'[21]2018 - 2022'!S16+'[22]2018-2022'!S16</f>
        <v>1665712.8521</v>
      </c>
      <c r="T16" s="32">
        <f>'[23]2018 - 2022'!T16+'[24]2018-2022'!T16</f>
        <v>1535200.41075</v>
      </c>
    </row>
    <row r="17" spans="1:20" ht="15" customHeight="1" x14ac:dyDescent="0.15">
      <c r="B17" s="12" t="s">
        <v>92</v>
      </c>
      <c r="C17" s="32"/>
      <c r="D17" s="32">
        <v>59</v>
      </c>
      <c r="E17" s="32">
        <f>0+67</f>
        <v>67</v>
      </c>
      <c r="F17" s="32">
        <f>('[1]2015 - 2018'!R17)+('[2]2015-2018'!R17)</f>
        <v>36</v>
      </c>
      <c r="G17" s="32">
        <v>45</v>
      </c>
      <c r="H17" s="32">
        <v>47</v>
      </c>
      <c r="I17" s="32">
        <v>52</v>
      </c>
      <c r="J17" s="32">
        <f>'[3]2015 - 2019'!R17+'[4]2015-2019'!R17</f>
        <v>6</v>
      </c>
      <c r="K17" s="32">
        <f>'[5]2015 - 2019'!S17+'[6]2015-2019'!S17</f>
        <v>12</v>
      </c>
      <c r="L17" s="32">
        <f>'[7]2015 - 2019'!T17+'[8]2015-2019'!T17</f>
        <v>18</v>
      </c>
      <c r="M17" s="32">
        <f>'[9]2015 - 2019'!U17+'[10]2015-2019'!U17</f>
        <v>524</v>
      </c>
      <c r="N17" s="32">
        <f>'[11]2015 - 2019'!V17+'[12]2015-2019'!V17</f>
        <v>89</v>
      </c>
      <c r="O17" s="32">
        <f>'[13]2015 - 2019'!W17+'[14]2016-2021'!W17</f>
        <v>98</v>
      </c>
      <c r="P17" s="32">
        <f>'[15]2016 - 2021'!X17+'[16]2016-2021'!X17</f>
        <v>1394.0309999999999</v>
      </c>
      <c r="Q17" s="32">
        <f>'[17]2016 - 2021'!Y17+'[18]2016-2021'!Y17</f>
        <v>2471.8626100000001</v>
      </c>
      <c r="R17" s="32">
        <f>'[19]2016 - 2021'!Z17+'[20]2016-2021'!Z17</f>
        <v>2172.9521399999999</v>
      </c>
      <c r="S17" s="32">
        <f>'[21]2018 - 2022'!S17+'[22]2018-2022'!S17</f>
        <v>1116.0875699999999</v>
      </c>
      <c r="T17" s="32">
        <f>'[23]2018 - 2022'!T17+'[24]2018-2022'!T17</f>
        <v>3424.0525700000003</v>
      </c>
    </row>
    <row r="18" spans="1:20" ht="15" customHeight="1" x14ac:dyDescent="0.15">
      <c r="B18" s="12" t="s">
        <v>81</v>
      </c>
      <c r="C18" s="32"/>
      <c r="D18" s="32">
        <v>0</v>
      </c>
      <c r="E18" s="32">
        <v>0</v>
      </c>
      <c r="F18" s="32">
        <f>('[1]2015 - 2018'!R18)+('[2]2015-2018'!R18)</f>
        <v>0</v>
      </c>
      <c r="G18" s="32">
        <v>0</v>
      </c>
      <c r="H18" s="32">
        <v>0</v>
      </c>
      <c r="I18" s="32">
        <v>0</v>
      </c>
      <c r="J18" s="32">
        <f>'[3]2015 - 2019'!R18+'[4]2015-2019'!R18</f>
        <v>0</v>
      </c>
      <c r="K18" s="32">
        <f>'[5]2015 - 2019'!S18+'[6]2015-2019'!S18</f>
        <v>0</v>
      </c>
      <c r="L18" s="32">
        <f>'[7]2015 - 2019'!T18+'[8]2015-2019'!T18</f>
        <v>0</v>
      </c>
      <c r="M18" s="32">
        <f>'[9]2015 - 2019'!U18+'[10]2015-2019'!U18</f>
        <v>0</v>
      </c>
      <c r="N18" s="32">
        <f>'[11]2015 - 2019'!V18+'[12]2015-2019'!V18</f>
        <v>0</v>
      </c>
      <c r="O18" s="32">
        <f>'[13]2015 - 2019'!W18+'[14]2016-2021'!W18</f>
        <v>0</v>
      </c>
      <c r="P18" s="32">
        <f>'[15]2016 - 2021'!X18+'[16]2016-2021'!X18</f>
        <v>0</v>
      </c>
      <c r="Q18" s="32">
        <f>'[17]2016 - 2021'!Y18+'[18]2016-2021'!Y18</f>
        <v>0</v>
      </c>
      <c r="R18" s="32">
        <f>'[19]2016 - 2021'!Z18+'[20]2016-2021'!Z18</f>
        <v>0</v>
      </c>
      <c r="S18" s="32">
        <f>'[21]2018 - 2022'!S18+'[22]2018-2022'!S18</f>
        <v>0</v>
      </c>
      <c r="T18" s="32">
        <f>'[23]2018 - 2022'!T18+'[24]2018-2022'!T18</f>
        <v>0</v>
      </c>
    </row>
    <row r="19" spans="1:20" ht="15" customHeight="1" x14ac:dyDescent="0.15">
      <c r="B19" s="16" t="s">
        <v>89</v>
      </c>
      <c r="C19" s="32"/>
      <c r="D19" s="32">
        <v>0</v>
      </c>
      <c r="E19" s="32">
        <v>0</v>
      </c>
      <c r="F19" s="32">
        <f>('[1]2015 - 2018'!R19)+('[2]2015-2018'!R19)</f>
        <v>0</v>
      </c>
      <c r="G19" s="32">
        <v>0</v>
      </c>
      <c r="H19" s="32">
        <v>0</v>
      </c>
      <c r="I19" s="32">
        <v>0</v>
      </c>
      <c r="J19" s="32">
        <f>'[3]2015 - 2019'!R19+'[4]2015-2019'!R19</f>
        <v>0</v>
      </c>
      <c r="K19" s="32">
        <f>'[5]2015 - 2019'!S19+'[6]2015-2019'!S19</f>
        <v>0</v>
      </c>
      <c r="L19" s="32">
        <f>'[7]2015 - 2019'!T19+'[8]2015-2019'!T19</f>
        <v>0</v>
      </c>
      <c r="M19" s="32">
        <f>'[9]2015 - 2019'!U19+'[10]2015-2019'!U19</f>
        <v>0</v>
      </c>
      <c r="N19" s="32">
        <f>'[11]2015 - 2019'!V19+'[12]2015-2019'!V19</f>
        <v>0</v>
      </c>
      <c r="O19" s="32">
        <f>'[13]2015 - 2019'!W19+'[14]2016-2021'!W19</f>
        <v>0</v>
      </c>
      <c r="P19" s="32">
        <f>'[15]2016 - 2021'!X19+'[16]2016-2021'!X19</f>
        <v>0</v>
      </c>
      <c r="Q19" s="32">
        <f>'[17]2016 - 2021'!Y19+'[18]2016-2021'!Y19</f>
        <v>0</v>
      </c>
      <c r="R19" s="32">
        <f>'[19]2016 - 2021'!Z19+'[20]2016-2021'!Z19</f>
        <v>0</v>
      </c>
      <c r="S19" s="32">
        <f>'[21]2018 - 2022'!S19+'[22]2018-2022'!S19</f>
        <v>0</v>
      </c>
      <c r="T19" s="32">
        <f>'[23]2018 - 2022'!T19+'[24]2018-2022'!T19</f>
        <v>0</v>
      </c>
    </row>
    <row r="20" spans="1:20" ht="12" customHeight="1" x14ac:dyDescent="0.15">
      <c r="B20" s="1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5.95" customHeight="1" x14ac:dyDescent="0.15">
      <c r="A21" s="4">
        <v>2</v>
      </c>
      <c r="B21" s="7" t="s">
        <v>48</v>
      </c>
      <c r="C21" s="19">
        <f t="shared" ref="C21:F21" si="15">+C22+C31</f>
        <v>2834079</v>
      </c>
      <c r="D21" s="19">
        <f t="shared" si="15"/>
        <v>3127045</v>
      </c>
      <c r="E21" s="19">
        <f t="shared" si="15"/>
        <v>3181297</v>
      </c>
      <c r="F21" s="19">
        <f t="shared" si="15"/>
        <v>3566450</v>
      </c>
      <c r="G21" s="19">
        <f t="shared" ref="G21:H21" si="16">+G22+G31</f>
        <v>3541233</v>
      </c>
      <c r="H21" s="19">
        <f t="shared" si="16"/>
        <v>4010696</v>
      </c>
      <c r="I21" s="19">
        <f t="shared" ref="I21:J21" si="17">+I22+I31</f>
        <v>4045059</v>
      </c>
      <c r="J21" s="19">
        <f t="shared" si="17"/>
        <v>4224691</v>
      </c>
      <c r="K21" s="19">
        <f t="shared" ref="K21:L21" si="18">+K22+K31</f>
        <v>4215183</v>
      </c>
      <c r="L21" s="19">
        <f t="shared" si="18"/>
        <v>4181452</v>
      </c>
      <c r="M21" s="19">
        <f t="shared" ref="M21:N21" si="19">+M22+M31</f>
        <v>4287969</v>
      </c>
      <c r="N21" s="19">
        <f t="shared" si="19"/>
        <v>4375351.2920000004</v>
      </c>
      <c r="O21" s="19">
        <f t="shared" ref="O21:P21" si="20">+O22+O31</f>
        <v>4599216.85097</v>
      </c>
      <c r="P21" s="19">
        <f t="shared" si="20"/>
        <v>4628522.4024400003</v>
      </c>
      <c r="Q21" s="19">
        <f t="shared" ref="Q21:R21" si="21">+Q22+Q31</f>
        <v>4914006.8725300003</v>
      </c>
      <c r="R21" s="19">
        <f t="shared" si="21"/>
        <v>5020092.5687700007</v>
      </c>
      <c r="S21" s="19">
        <f t="shared" ref="S21:T21" si="22">+S22+S31</f>
        <v>4778640.72798</v>
      </c>
      <c r="T21" s="19">
        <f t="shared" si="22"/>
        <v>4518268.7133300006</v>
      </c>
    </row>
    <row r="22" spans="1:20" s="20" customFormat="1" ht="15.95" customHeight="1" x14ac:dyDescent="0.15">
      <c r="A22" s="4"/>
      <c r="B22" s="10" t="s">
        <v>36</v>
      </c>
      <c r="C22" s="19">
        <f t="shared" ref="C22:F22" si="23">SUM(C23:C29)</f>
        <v>10532</v>
      </c>
      <c r="D22" s="19">
        <f t="shared" si="23"/>
        <v>10768</v>
      </c>
      <c r="E22" s="19">
        <f t="shared" si="23"/>
        <v>11769</v>
      </c>
      <c r="F22" s="19">
        <f t="shared" si="23"/>
        <v>83532</v>
      </c>
      <c r="G22" s="19">
        <f t="shared" ref="G22:H22" si="24">SUM(G23:G29)</f>
        <v>88140</v>
      </c>
      <c r="H22" s="19">
        <f t="shared" si="24"/>
        <v>53678</v>
      </c>
      <c r="I22" s="19">
        <f t="shared" ref="I22:J22" si="25">SUM(I23:I29)</f>
        <v>156368</v>
      </c>
      <c r="J22" s="19">
        <f t="shared" si="25"/>
        <v>49929</v>
      </c>
      <c r="K22" s="19">
        <f t="shared" ref="K22:L22" si="26">SUM(K23:K29)</f>
        <v>111979</v>
      </c>
      <c r="L22" s="19">
        <f t="shared" si="26"/>
        <v>0</v>
      </c>
      <c r="M22" s="19">
        <f t="shared" ref="M22:N22" si="27">SUM(M23:M29)</f>
        <v>0</v>
      </c>
      <c r="N22" s="19">
        <f t="shared" si="27"/>
        <v>0</v>
      </c>
      <c r="O22" s="19">
        <f t="shared" ref="O22:P22" si="28">SUM(O23:O29)</f>
        <v>0</v>
      </c>
      <c r="P22" s="19">
        <f t="shared" si="28"/>
        <v>0</v>
      </c>
      <c r="Q22" s="19">
        <f t="shared" ref="Q22:R22" si="29">SUM(Q23:Q29)</f>
        <v>0</v>
      </c>
      <c r="R22" s="19">
        <f t="shared" si="29"/>
        <v>0</v>
      </c>
      <c r="S22" s="19">
        <f t="shared" ref="S22:T22" si="30">SUM(S23:S29)</f>
        <v>0</v>
      </c>
      <c r="T22" s="19">
        <f t="shared" si="30"/>
        <v>0</v>
      </c>
    </row>
    <row r="23" spans="1:20" ht="15" customHeight="1" x14ac:dyDescent="0.15">
      <c r="B23" s="2" t="s">
        <v>3</v>
      </c>
      <c r="C23" s="32">
        <f>699+9833</f>
        <v>10532</v>
      </c>
      <c r="D23" s="32">
        <v>10768</v>
      </c>
      <c r="E23" s="32">
        <f>10676+0</f>
        <v>10676</v>
      </c>
      <c r="F23" s="32">
        <f>('[1]2015 - 2018'!R23)+('[2]2015-2018'!R23)</f>
        <v>15728</v>
      </c>
      <c r="G23" s="32">
        <v>15644</v>
      </c>
      <c r="H23" s="32">
        <v>15580</v>
      </c>
      <c r="I23" s="32">
        <v>15488</v>
      </c>
      <c r="J23" s="32">
        <f>'[3]2015 - 2019'!R23+'[4]2015-2019'!R23</f>
        <v>0</v>
      </c>
      <c r="K23" s="32">
        <f>'[5]2015 - 2019'!S23+'[6]2015-2019'!S23</f>
        <v>0</v>
      </c>
      <c r="L23" s="32">
        <f>'[7]2015 - 2019'!T23+'[8]2015-2019'!T23</f>
        <v>0</v>
      </c>
      <c r="M23" s="32">
        <f>'[9]2015 - 2019'!U23+'[10]2015-2019'!U23</f>
        <v>0</v>
      </c>
      <c r="N23" s="32">
        <f>'[11]2015 - 2019'!V23+'[12]2015-2019'!V23</f>
        <v>0</v>
      </c>
      <c r="O23" s="32">
        <f>'[13]2015 - 2019'!W23+'[14]2016-2021'!W23</f>
        <v>0</v>
      </c>
      <c r="P23" s="32">
        <f>'[15]2016 - 2021'!X23+'[16]2016-2021'!X23</f>
        <v>0</v>
      </c>
      <c r="Q23" s="32">
        <f>'[17]2016 - 2021'!Y23+'[18]2016-2021'!Y23</f>
        <v>0</v>
      </c>
      <c r="R23" s="32">
        <f>'[19]2016 - 2021'!Z23+'[20]2016-2021'!Z23</f>
        <v>0</v>
      </c>
      <c r="S23" s="32">
        <f>'[21]2018 - 2022'!S23+'[22]2018-2022'!S23</f>
        <v>0</v>
      </c>
      <c r="T23" s="32">
        <f>'[23]2018 - 2022'!T23+'[24]2018-2022'!T23</f>
        <v>0</v>
      </c>
    </row>
    <row r="24" spans="1:20" ht="15" customHeight="1" x14ac:dyDescent="0.15">
      <c r="B24" s="2" t="s">
        <v>13</v>
      </c>
      <c r="C24" s="32">
        <v>0</v>
      </c>
      <c r="D24" s="32">
        <v>0</v>
      </c>
      <c r="E24" s="32">
        <v>0</v>
      </c>
      <c r="F24" s="32">
        <f>('[1]2015 - 2018'!R24)+('[2]2015-2018'!R24)</f>
        <v>0</v>
      </c>
      <c r="G24" s="32">
        <v>0</v>
      </c>
      <c r="H24" s="32">
        <v>0</v>
      </c>
      <c r="I24" s="32">
        <v>0</v>
      </c>
      <c r="J24" s="32">
        <f>'[3]2015 - 2019'!R24+'[4]2015-2019'!R24</f>
        <v>0</v>
      </c>
      <c r="K24" s="32">
        <f>'[5]2015 - 2019'!S24+'[6]2015-2019'!S24</f>
        <v>0</v>
      </c>
      <c r="L24" s="32">
        <f>'[7]2015 - 2019'!T24+'[8]2015-2019'!T24</f>
        <v>0</v>
      </c>
      <c r="M24" s="32">
        <f>'[9]2015 - 2019'!U24+'[10]2015-2019'!U24</f>
        <v>0</v>
      </c>
      <c r="N24" s="32">
        <f>'[11]2015 - 2019'!V24+'[12]2015-2019'!V24</f>
        <v>0</v>
      </c>
      <c r="O24" s="32">
        <f>'[13]2015 - 2019'!W24+'[14]2016-2021'!W24</f>
        <v>0</v>
      </c>
      <c r="P24" s="32">
        <f>'[15]2016 - 2021'!X24+'[16]2016-2021'!X24</f>
        <v>0</v>
      </c>
      <c r="Q24" s="32">
        <f>'[17]2016 - 2021'!Y24+'[18]2016-2021'!Y24</f>
        <v>0</v>
      </c>
      <c r="R24" s="32">
        <f>'[19]2016 - 2021'!Z24+'[20]2016-2021'!Z24</f>
        <v>0</v>
      </c>
      <c r="S24" s="32">
        <f>'[21]2018 - 2022'!S24+'[22]2018-2022'!S24</f>
        <v>0</v>
      </c>
      <c r="T24" s="32">
        <f>'[23]2018 - 2022'!T24+'[24]2018-2022'!T24</f>
        <v>0</v>
      </c>
    </row>
    <row r="25" spans="1:20" ht="15" customHeight="1" x14ac:dyDescent="0.15">
      <c r="B25" s="2" t="s">
        <v>18</v>
      </c>
      <c r="C25" s="32">
        <v>0</v>
      </c>
      <c r="D25" s="32">
        <v>0</v>
      </c>
      <c r="E25" s="32">
        <v>0</v>
      </c>
      <c r="F25" s="32">
        <f>('[1]2015 - 2018'!R25)+('[2]2015-2018'!R25)</f>
        <v>72</v>
      </c>
      <c r="G25" s="32">
        <v>72</v>
      </c>
      <c r="H25" s="32">
        <v>72</v>
      </c>
      <c r="I25" s="32">
        <v>0</v>
      </c>
      <c r="J25" s="32">
        <f>'[3]2015 - 2019'!R25+'[4]2015-2019'!R25</f>
        <v>0</v>
      </c>
      <c r="K25" s="32">
        <f>'[5]2015 - 2019'!S25+'[6]2015-2019'!S25</f>
        <v>0</v>
      </c>
      <c r="L25" s="32">
        <f>'[7]2015 - 2019'!T25+'[8]2015-2019'!T25</f>
        <v>0</v>
      </c>
      <c r="M25" s="32">
        <f>'[9]2015 - 2019'!U25+'[10]2015-2019'!U25</f>
        <v>0</v>
      </c>
      <c r="N25" s="32">
        <f>'[11]2015 - 2019'!V25+'[12]2015-2019'!V25</f>
        <v>0</v>
      </c>
      <c r="O25" s="32">
        <f>'[13]2015 - 2019'!W25+'[14]2016-2021'!W25</f>
        <v>0</v>
      </c>
      <c r="P25" s="32">
        <f>'[15]2016 - 2021'!X25+'[16]2016-2021'!X25</f>
        <v>0</v>
      </c>
      <c r="Q25" s="32">
        <f>'[17]2016 - 2021'!Y25+'[18]2016-2021'!Y25</f>
        <v>0</v>
      </c>
      <c r="R25" s="32">
        <f>'[19]2016 - 2021'!Z25+'[20]2016-2021'!Z25</f>
        <v>0</v>
      </c>
      <c r="S25" s="32">
        <f>'[21]2018 - 2022'!S25+'[22]2018-2022'!S25</f>
        <v>0</v>
      </c>
      <c r="T25" s="32">
        <f>'[23]2018 - 2022'!T25+'[24]2018-2022'!T25</f>
        <v>0</v>
      </c>
    </row>
    <row r="26" spans="1:20" ht="15" customHeight="1" x14ac:dyDescent="0.15">
      <c r="B26" s="2" t="s">
        <v>37</v>
      </c>
      <c r="C26" s="32">
        <v>0</v>
      </c>
      <c r="D26" s="32">
        <v>0</v>
      </c>
      <c r="E26" s="32">
        <v>0</v>
      </c>
      <c r="F26" s="32">
        <f>('[1]2015 - 2018'!R26)+('[2]2015-2018'!R26)</f>
        <v>0</v>
      </c>
      <c r="G26" s="32">
        <v>0</v>
      </c>
      <c r="H26" s="32">
        <v>0</v>
      </c>
      <c r="I26" s="32">
        <v>0</v>
      </c>
      <c r="J26" s="32">
        <f>'[3]2015 - 2019'!R26+'[4]2015-2019'!R26</f>
        <v>0</v>
      </c>
      <c r="K26" s="32">
        <f>'[5]2015 - 2019'!S26+'[6]2015-2019'!S26</f>
        <v>0</v>
      </c>
      <c r="L26" s="32">
        <f>'[7]2015 - 2019'!T26+'[8]2015-2019'!T26</f>
        <v>0</v>
      </c>
      <c r="M26" s="32">
        <f>'[9]2015 - 2019'!U26+'[10]2015-2019'!U26</f>
        <v>0</v>
      </c>
      <c r="N26" s="32">
        <f>'[11]2015 - 2019'!V26+'[12]2015-2019'!V26</f>
        <v>0</v>
      </c>
      <c r="O26" s="32">
        <f>'[13]2015 - 2019'!W26+'[14]2016-2021'!W26</f>
        <v>0</v>
      </c>
      <c r="P26" s="32">
        <f>'[15]2016 - 2021'!X26+'[16]2016-2021'!X26</f>
        <v>0</v>
      </c>
      <c r="Q26" s="32">
        <f>'[17]2016 - 2021'!Y26+'[18]2016-2021'!Y26</f>
        <v>0</v>
      </c>
      <c r="R26" s="32">
        <f>'[19]2016 - 2021'!Z26+'[20]2016-2021'!Z26</f>
        <v>0</v>
      </c>
      <c r="S26" s="32">
        <f>'[21]2018 - 2022'!S26+'[22]2018-2022'!S26</f>
        <v>0</v>
      </c>
      <c r="T26" s="32">
        <f>'[23]2018 - 2022'!T26+'[24]2018-2022'!T26</f>
        <v>0</v>
      </c>
    </row>
    <row r="27" spans="1:20" ht="15" customHeight="1" x14ac:dyDescent="0.15">
      <c r="B27" s="2" t="s">
        <v>49</v>
      </c>
      <c r="C27" s="32">
        <v>0</v>
      </c>
      <c r="D27" s="32">
        <v>0</v>
      </c>
      <c r="E27" s="32">
        <v>0</v>
      </c>
      <c r="F27" s="32">
        <f>('[1]2015 - 2018'!R27)+('[2]2015-2018'!R27)</f>
        <v>0</v>
      </c>
      <c r="G27" s="32">
        <v>0</v>
      </c>
      <c r="H27" s="32">
        <v>0</v>
      </c>
      <c r="I27" s="32">
        <v>0</v>
      </c>
      <c r="J27" s="32">
        <f>'[3]2015 - 2019'!R27+'[4]2015-2019'!R27</f>
        <v>0</v>
      </c>
      <c r="K27" s="32">
        <f>'[5]2015 - 2019'!S27+'[6]2015-2019'!S27</f>
        <v>0</v>
      </c>
      <c r="L27" s="32">
        <f>'[7]2015 - 2019'!T27+'[8]2015-2019'!T27</f>
        <v>0</v>
      </c>
      <c r="M27" s="32">
        <f>'[9]2015 - 2019'!U27+'[10]2015-2019'!U27</f>
        <v>0</v>
      </c>
      <c r="N27" s="32">
        <f>'[11]2015 - 2019'!V27+'[12]2015-2019'!V27</f>
        <v>0</v>
      </c>
      <c r="O27" s="32">
        <f>'[13]2015 - 2019'!W27+'[14]2016-2021'!W27</f>
        <v>0</v>
      </c>
      <c r="P27" s="32">
        <f>'[15]2016 - 2021'!X27+'[16]2016-2021'!X27</f>
        <v>0</v>
      </c>
      <c r="Q27" s="32">
        <f>'[17]2016 - 2021'!Y27+'[18]2016-2021'!Y27</f>
        <v>0</v>
      </c>
      <c r="R27" s="32">
        <f>'[19]2016 - 2021'!Z27+'[20]2016-2021'!Z27</f>
        <v>0</v>
      </c>
      <c r="S27" s="32">
        <f>'[21]2018 - 2022'!S27+'[22]2018-2022'!S27</f>
        <v>0</v>
      </c>
      <c r="T27" s="32">
        <f>'[23]2018 - 2022'!T27+'[24]2018-2022'!T27</f>
        <v>0</v>
      </c>
    </row>
    <row r="28" spans="1:20" ht="15" customHeight="1" x14ac:dyDescent="0.15">
      <c r="B28" s="12" t="s">
        <v>64</v>
      </c>
      <c r="C28" s="32">
        <v>0</v>
      </c>
      <c r="D28" s="32">
        <v>0</v>
      </c>
      <c r="E28" s="32">
        <v>1093</v>
      </c>
      <c r="F28" s="32">
        <f>('[1]2015 - 2018'!R28)+('[2]2015-2018'!R28)</f>
        <v>67732</v>
      </c>
      <c r="G28" s="32">
        <v>72424</v>
      </c>
      <c r="H28" s="32">
        <v>38026</v>
      </c>
      <c r="I28" s="32">
        <v>140880</v>
      </c>
      <c r="J28" s="32">
        <f>'[3]2015 - 2019'!R28+'[4]2015-2019'!R28</f>
        <v>49929</v>
      </c>
      <c r="K28" s="32">
        <f>'[5]2015 - 2019'!S28+'[6]2015-2019'!S28</f>
        <v>111979</v>
      </c>
      <c r="L28" s="32">
        <f>'[7]2015 - 2019'!T28+'[8]2015-2019'!T28</f>
        <v>0</v>
      </c>
      <c r="M28" s="32">
        <f>'[9]2015 - 2019'!U28+'[10]2015-2019'!U28</f>
        <v>0</v>
      </c>
      <c r="N28" s="32">
        <f>'[11]2015 - 2019'!V28+'[12]2015-2019'!V28</f>
        <v>0</v>
      </c>
      <c r="O28" s="32">
        <f>'[13]2015 - 2019'!W28+'[14]2016-2021'!W28</f>
        <v>0</v>
      </c>
      <c r="P28" s="32">
        <f>'[15]2016 - 2021'!X28+'[16]2016-2021'!X28</f>
        <v>0</v>
      </c>
      <c r="Q28" s="32">
        <f>'[17]2016 - 2021'!Y28+'[18]2016-2021'!Y28</f>
        <v>0</v>
      </c>
      <c r="R28" s="32">
        <f>'[19]2016 - 2021'!Z28+'[20]2016-2021'!Z28</f>
        <v>0</v>
      </c>
      <c r="S28" s="32">
        <f>'[21]2018 - 2022'!S28+'[22]2018-2022'!S28</f>
        <v>0</v>
      </c>
      <c r="T28" s="32">
        <f>'[23]2018 - 2022'!T28+'[24]2018-2022'!T28</f>
        <v>0</v>
      </c>
    </row>
    <row r="29" spans="1:20" ht="15" customHeight="1" x14ac:dyDescent="0.15">
      <c r="B29" s="12" t="s">
        <v>90</v>
      </c>
      <c r="C29" s="32">
        <v>0</v>
      </c>
      <c r="D29" s="32">
        <v>0</v>
      </c>
      <c r="E29" s="32">
        <v>0</v>
      </c>
      <c r="F29" s="32">
        <f>('[1]2015 - 2018'!R29)+('[2]2015-2018'!R29)</f>
        <v>0</v>
      </c>
      <c r="G29" s="32">
        <v>0</v>
      </c>
      <c r="H29" s="32">
        <v>0</v>
      </c>
      <c r="I29" s="32">
        <v>0</v>
      </c>
      <c r="J29" s="32">
        <f>'[3]2015 - 2019'!R29+'[4]2015-2019'!R29</f>
        <v>0</v>
      </c>
      <c r="K29" s="32">
        <f>'[5]2015 - 2019'!S29+'[6]2015-2019'!S29</f>
        <v>0</v>
      </c>
      <c r="L29" s="32">
        <f>'[7]2015 - 2019'!T29+'[8]2015-2019'!T29</f>
        <v>0</v>
      </c>
      <c r="M29" s="32">
        <f>'[9]2015 - 2019'!U29+'[10]2015-2019'!U29</f>
        <v>0</v>
      </c>
      <c r="N29" s="32">
        <f>'[11]2015 - 2019'!V29+'[12]2015-2019'!V29</f>
        <v>0</v>
      </c>
      <c r="O29" s="32">
        <f>'[13]2015 - 2019'!W29+'[14]2016-2021'!W29</f>
        <v>0</v>
      </c>
      <c r="P29" s="32">
        <f>'[15]2016 - 2021'!X29+'[16]2016-2021'!X29</f>
        <v>0</v>
      </c>
      <c r="Q29" s="32">
        <f>'[17]2016 - 2021'!Y29+'[18]2016-2021'!Y29</f>
        <v>0</v>
      </c>
      <c r="R29" s="32">
        <f>'[19]2016 - 2021'!Z29+'[20]2016-2021'!Z29</f>
        <v>0</v>
      </c>
      <c r="S29" s="32">
        <f>'[21]2018 - 2022'!S29+'[22]2018-2022'!S29</f>
        <v>0</v>
      </c>
      <c r="T29" s="32">
        <f>'[23]2018 - 2022'!T29+'[24]2018-2022'!T29</f>
        <v>0</v>
      </c>
    </row>
    <row r="30" spans="1:20" ht="15.95" customHeight="1" x14ac:dyDescent="0.1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5.95" customHeight="1" x14ac:dyDescent="0.15">
      <c r="B31" s="10" t="s">
        <v>38</v>
      </c>
      <c r="C31" s="19">
        <f t="shared" ref="C31:G31" si="31">SUM(C32:C36)</f>
        <v>2823547</v>
      </c>
      <c r="D31" s="19">
        <f t="shared" si="31"/>
        <v>3116277</v>
      </c>
      <c r="E31" s="19">
        <f t="shared" si="31"/>
        <v>3169528</v>
      </c>
      <c r="F31" s="19">
        <f t="shared" si="31"/>
        <v>3482918</v>
      </c>
      <c r="G31" s="19">
        <f t="shared" si="31"/>
        <v>3453093</v>
      </c>
      <c r="H31" s="19">
        <f t="shared" ref="H31:I31" si="32">SUM(H32:H36)</f>
        <v>3957018</v>
      </c>
      <c r="I31" s="19">
        <f t="shared" si="32"/>
        <v>3888691</v>
      </c>
      <c r="J31" s="19">
        <f t="shared" ref="J31" si="33">SUM(J32:J36)</f>
        <v>4174762</v>
      </c>
      <c r="K31" s="19">
        <f t="shared" ref="K31:P31" si="34">SUM(K32:K36)</f>
        <v>4103204</v>
      </c>
      <c r="L31" s="19">
        <f t="shared" si="34"/>
        <v>4181452</v>
      </c>
      <c r="M31" s="19">
        <f t="shared" si="34"/>
        <v>4287969</v>
      </c>
      <c r="N31" s="19">
        <f t="shared" si="34"/>
        <v>4375351.2920000004</v>
      </c>
      <c r="O31" s="19">
        <f t="shared" si="34"/>
        <v>4599216.85097</v>
      </c>
      <c r="P31" s="19">
        <f t="shared" si="34"/>
        <v>4628522.4024400003</v>
      </c>
      <c r="Q31" s="19">
        <f t="shared" ref="Q31:R31" si="35">SUM(Q32:Q36)</f>
        <v>4914006.8725300003</v>
      </c>
      <c r="R31" s="19">
        <f t="shared" si="35"/>
        <v>5020092.5687700007</v>
      </c>
      <c r="S31" s="19">
        <f t="shared" ref="S31:T31" si="36">SUM(S32:S36)</f>
        <v>4778640.72798</v>
      </c>
      <c r="T31" s="19">
        <f t="shared" si="36"/>
        <v>4518268.7133300006</v>
      </c>
    </row>
    <row r="32" spans="1:20" ht="15" customHeight="1" x14ac:dyDescent="0.15">
      <c r="B32" s="16" t="s">
        <v>20</v>
      </c>
      <c r="C32" s="32">
        <v>313247</v>
      </c>
      <c r="D32" s="32">
        <v>495230</v>
      </c>
      <c r="E32" s="32">
        <f>637000+1</f>
        <v>637001</v>
      </c>
      <c r="F32" s="32">
        <f>('[1]2015 - 2018'!R32)+('[2]2015-2018'!R32)</f>
        <v>837729</v>
      </c>
      <c r="G32" s="32">
        <f>27152+670917</f>
        <v>698069</v>
      </c>
      <c r="H32" s="32">
        <f>668188+154479</f>
        <v>822667</v>
      </c>
      <c r="I32" s="32">
        <f>658797+83339</f>
        <v>742136</v>
      </c>
      <c r="J32" s="32">
        <f>'[3]2015 - 2019'!R32+'[4]2015-2019'!R32</f>
        <v>706670</v>
      </c>
      <c r="K32" s="32">
        <f>'[5]2015 - 2019'!S32+'[6]2015-2019'!S32</f>
        <v>582111</v>
      </c>
      <c r="L32" s="32">
        <f>'[7]2015 - 2019'!T32+'[8]2015-2019'!T32</f>
        <v>619449</v>
      </c>
      <c r="M32" s="32">
        <f>'[9]2015 - 2019'!U32+'[10]2015-2019'!U32</f>
        <v>635350</v>
      </c>
      <c r="N32" s="32">
        <f>'[11]2015 - 2019'!V32+'[12]2015-2019'!V32</f>
        <v>611027.75300000003</v>
      </c>
      <c r="O32" s="32">
        <f>'[13]2015 - 2019'!W32+'[14]2016-2021'!W32</f>
        <v>619890.978</v>
      </c>
      <c r="P32" s="32">
        <f>'[15]2016 - 2021'!X32+'[16]2016-2021'!X32</f>
        <v>616844.05700000003</v>
      </c>
      <c r="Q32" s="32">
        <f>'[17]2016 - 2021'!Y32+'[18]2016-2021'!Y32</f>
        <v>597344.57700000005</v>
      </c>
      <c r="R32" s="32">
        <f>'[19]2016 - 2021'!Z32+'[20]2016-2021'!Z32</f>
        <v>603768.06200000003</v>
      </c>
      <c r="S32" s="32">
        <f>'[21]2018 - 2022'!S32+'[22]2018-2022'!S32</f>
        <v>604731.89500000002</v>
      </c>
      <c r="T32" s="32">
        <f>'[23]2018 - 2022'!T32+'[24]2018-2022'!T32</f>
        <v>602035.48600000003</v>
      </c>
    </row>
    <row r="33" spans="1:20" ht="15" customHeight="1" x14ac:dyDescent="0.15">
      <c r="B33" s="12" t="s">
        <v>47</v>
      </c>
      <c r="C33" s="32">
        <v>480212</v>
      </c>
      <c r="D33" s="32">
        <v>471256</v>
      </c>
      <c r="E33" s="32">
        <f>440425</f>
        <v>440425</v>
      </c>
      <c r="F33" s="32">
        <f>('[1]2015 - 2018'!R33)+('[2]2015-2018'!R33)</f>
        <v>461799</v>
      </c>
      <c r="G33" s="32">
        <f>22624+377987</f>
        <v>400611</v>
      </c>
      <c r="H33" s="32">
        <f>337800+81749</f>
        <v>419549</v>
      </c>
      <c r="I33" s="32">
        <f>279225+4210</f>
        <v>283435</v>
      </c>
      <c r="J33" s="32">
        <f>63714+182884</f>
        <v>246598</v>
      </c>
      <c r="K33" s="32">
        <f>26888+198656</f>
        <v>225544</v>
      </c>
      <c r="L33" s="32">
        <f>'[7]2015 - 2019'!T33+'[8]2015-2019'!T33</f>
        <v>309390</v>
      </c>
      <c r="M33" s="32">
        <f>'[9]2015 - 2019'!U33+'[10]2015-2019'!U33</f>
        <v>185879</v>
      </c>
      <c r="N33" s="32">
        <f>'[11]2015 - 2019'!V33+'[12]2015-2019'!V33</f>
        <v>192498.42499999999</v>
      </c>
      <c r="O33" s="32">
        <f>'[13]2015 - 2019'!W33+'[14]2016-2021'!W33</f>
        <v>224814.09954</v>
      </c>
      <c r="P33" s="32">
        <f>'[15]2016 - 2021'!X33+'[16]2016-2021'!X33</f>
        <v>204427.56779</v>
      </c>
      <c r="Q33" s="32">
        <f>'[17]2016 - 2021'!Y33+'[18]2016-2021'!Y33</f>
        <v>192951.09202000001</v>
      </c>
      <c r="R33" s="32">
        <f>'[19]2016 - 2021'!Z33+'[20]2016-2021'!Z33</f>
        <v>188115.02106</v>
      </c>
      <c r="S33" s="32">
        <f>'[21]2018 - 2022'!S33+'[22]2018-2022'!S33</f>
        <v>159345.21418000001</v>
      </c>
      <c r="T33" s="32">
        <f>'[23]2018 - 2022'!T33+'[24]2018-2022'!T33</f>
        <v>96803.42555</v>
      </c>
    </row>
    <row r="34" spans="1:20" ht="15" customHeight="1" x14ac:dyDescent="0.15">
      <c r="B34" s="12" t="s">
        <v>64</v>
      </c>
      <c r="C34" s="32">
        <v>139576</v>
      </c>
      <c r="D34" s="32">
        <v>106569</v>
      </c>
      <c r="E34" s="32">
        <f>117942</f>
        <v>117942</v>
      </c>
      <c r="F34" s="32">
        <f>('[1]2015 - 2018'!R34)+('[2]2015-2018'!R34)</f>
        <v>146943</v>
      </c>
      <c r="G34" s="32">
        <f>25809+142770</f>
        <v>168579</v>
      </c>
      <c r="H34" s="32">
        <f>134954+36327</f>
        <v>171281</v>
      </c>
      <c r="I34" s="32">
        <f>150486+42124</f>
        <v>192610</v>
      </c>
      <c r="J34" s="32">
        <f>22475+265415</f>
        <v>287890</v>
      </c>
      <c r="K34" s="32">
        <f>66571+274953</f>
        <v>341524</v>
      </c>
      <c r="L34" s="32">
        <f>'[7]2015 - 2019'!T34+'[8]2015-2019'!T34</f>
        <v>349359</v>
      </c>
      <c r="M34" s="32">
        <f>'[9]2015 - 2019'!U34+'[10]2015-2019'!U34</f>
        <v>369655</v>
      </c>
      <c r="N34" s="32">
        <f>'[11]2015 - 2019'!V34+'[12]2015-2019'!V34</f>
        <v>338728.49900000001</v>
      </c>
      <c r="O34" s="32">
        <f>'[13]2015 - 2019'!W34+'[14]2016-2021'!W34</f>
        <v>353016.98189</v>
      </c>
      <c r="P34" s="32">
        <f>'[15]2016 - 2021'!X34+'[16]2016-2021'!X34</f>
        <v>253155.53638999999</v>
      </c>
      <c r="Q34" s="32">
        <f>'[17]2016 - 2021'!Y34+'[18]2016-2021'!Y34</f>
        <v>320898.82218999998</v>
      </c>
      <c r="R34" s="32">
        <f>'[19]2016 - 2021'!Z34+'[20]2016-2021'!Z34</f>
        <v>338162.70405</v>
      </c>
      <c r="S34" s="32">
        <f>'[21]2018 - 2022'!S34+'[22]2018-2022'!S34</f>
        <v>343606.36086000002</v>
      </c>
      <c r="T34" s="32">
        <f>'[23]2018 - 2022'!T34+'[24]2018-2022'!T34</f>
        <v>434693.75095999998</v>
      </c>
    </row>
    <row r="35" spans="1:20" s="25" customFormat="1" ht="15" customHeight="1" x14ac:dyDescent="0.15">
      <c r="A35" s="23"/>
      <c r="B35" s="12" t="s">
        <v>81</v>
      </c>
      <c r="C35" s="32">
        <v>71921</v>
      </c>
      <c r="D35" s="32">
        <v>97960</v>
      </c>
      <c r="E35" s="32">
        <f>180706</f>
        <v>180706</v>
      </c>
      <c r="F35" s="32">
        <f>('[1]2015 - 2018'!R35)+('[2]2015-2018'!R35)</f>
        <v>181360</v>
      </c>
      <c r="G35" s="32">
        <v>180139</v>
      </c>
      <c r="H35" s="32">
        <v>248951</v>
      </c>
      <c r="I35" s="32">
        <v>189959</v>
      </c>
      <c r="J35" s="32">
        <f>'[3]2015 - 2019'!R35+'[4]2015-2019'!R35</f>
        <v>60321</v>
      </c>
      <c r="K35" s="32">
        <f>'[5]2015 - 2019'!S35+'[6]2015-2019'!S35</f>
        <v>55687</v>
      </c>
      <c r="L35" s="32">
        <f>'[7]2015 - 2019'!T35+'[8]2015-2019'!T35</f>
        <v>51989</v>
      </c>
      <c r="M35" s="32">
        <f>'[9]2015 - 2019'!U35+'[10]2015-2019'!U35</f>
        <v>52109</v>
      </c>
      <c r="N35" s="32">
        <f>'[11]2015 - 2019'!V35+'[12]2015-2019'!V35</f>
        <v>47060.828000000001</v>
      </c>
      <c r="O35" s="32">
        <f>'[13]2015 - 2019'!W35+'[14]2016-2021'!W35</f>
        <v>45689.833980000003</v>
      </c>
      <c r="P35" s="32">
        <f>'[15]2016 - 2021'!X35+'[16]2016-2021'!X35</f>
        <v>41421.290209999999</v>
      </c>
      <c r="Q35" s="32">
        <f>'[17]2016 - 2021'!Y35+'[18]2016-2021'!Y35</f>
        <v>98369.020220000006</v>
      </c>
      <c r="R35" s="32">
        <f>'[19]2016 - 2021'!Z35+'[20]2016-2021'!Z35</f>
        <v>103270.92507</v>
      </c>
      <c r="S35" s="32">
        <f>'[21]2018 - 2022'!S35+'[22]2018-2022'!S35</f>
        <v>86459.936919999993</v>
      </c>
      <c r="T35" s="32">
        <f>'[23]2018 - 2022'!T35+'[24]2018-2022'!T35</f>
        <v>90644.633879999994</v>
      </c>
    </row>
    <row r="36" spans="1:20" s="25" customFormat="1" ht="15" customHeight="1" x14ac:dyDescent="0.15">
      <c r="A36" s="23"/>
      <c r="B36" s="12" t="s">
        <v>91</v>
      </c>
      <c r="C36" s="32">
        <f>5062+1813529</f>
        <v>1818591</v>
      </c>
      <c r="D36" s="32">
        <f>1939482+5780</f>
        <v>1945262</v>
      </c>
      <c r="E36" s="32">
        <f>1787656+5798</f>
        <v>1793454</v>
      </c>
      <c r="F36" s="32">
        <f>('[1]2015 - 2018'!R36)+('[2]2015-2018'!R36)</f>
        <v>1855087</v>
      </c>
      <c r="G36" s="32">
        <f>5231+1832262+168202</f>
        <v>2005695</v>
      </c>
      <c r="H36" s="32">
        <f>2293864+706</f>
        <v>2294570</v>
      </c>
      <c r="I36" s="32">
        <f>2409863+70688</f>
        <v>2480551</v>
      </c>
      <c r="J36" s="32">
        <f>70488+2802795</f>
        <v>2873283</v>
      </c>
      <c r="K36" s="32">
        <f>70466+2827872</f>
        <v>2898338</v>
      </c>
      <c r="L36" s="32">
        <f>'[7]2015 - 2019'!T36+'[8]2015-2019'!T36</f>
        <v>2851265</v>
      </c>
      <c r="M36" s="32">
        <f>'[9]2015 - 2019'!U36+'[10]2015-2019'!U36</f>
        <v>3044976</v>
      </c>
      <c r="N36" s="32">
        <f>'[11]2015 - 2019'!V36+'[12]2015-2019'!V36</f>
        <v>3186035.787</v>
      </c>
      <c r="O36" s="32">
        <f>'[13]2015 - 2019'!W36+'[14]2016-2021'!W36</f>
        <v>3355804.95756</v>
      </c>
      <c r="P36" s="32">
        <f>'[15]2016 - 2021'!X36+'[16]2016-2021'!X36</f>
        <v>3512673.9510499998</v>
      </c>
      <c r="Q36" s="32">
        <f>'[17]2016 - 2021'!Y36+'[18]2016-2021'!Y36</f>
        <v>3704443.3610999999</v>
      </c>
      <c r="R36" s="32">
        <f>'[19]2016 - 2021'!Z36+'[20]2016-2021'!Z36</f>
        <v>3786775.85659</v>
      </c>
      <c r="S36" s="32">
        <f>'[21]2018 - 2022'!S36+'[22]2018-2022'!S36</f>
        <v>3584497.3210200001</v>
      </c>
      <c r="T36" s="32">
        <f>'[23]2018 - 2022'!T36+'[24]2018-2022'!T36</f>
        <v>3294091.4169400004</v>
      </c>
    </row>
    <row r="37" spans="1:20" ht="12" customHeight="1" x14ac:dyDescent="0.15">
      <c r="B37" s="26"/>
      <c r="C37" s="19"/>
      <c r="D37" s="19"/>
      <c r="E37" s="19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5.95" customHeight="1" x14ac:dyDescent="0.15">
      <c r="A38" s="4">
        <v>3</v>
      </c>
      <c r="B38" s="7" t="s">
        <v>43</v>
      </c>
      <c r="C38" s="19">
        <f>252635+88264</f>
        <v>340899</v>
      </c>
      <c r="D38" s="19">
        <f>126513+213084</f>
        <v>339597</v>
      </c>
      <c r="E38" s="19">
        <f>88111+392522</f>
        <v>480633</v>
      </c>
      <c r="F38" s="19">
        <f>('[1]2015 - 2018'!R38)+('[2]2015-2018'!R38)</f>
        <v>88524</v>
      </c>
      <c r="G38" s="19">
        <f t="shared" ref="G38:L38" si="37">+G39+G46</f>
        <v>88425</v>
      </c>
      <c r="H38" s="19">
        <f t="shared" si="37"/>
        <v>88524</v>
      </c>
      <c r="I38" s="19">
        <f t="shared" si="37"/>
        <v>88572</v>
      </c>
      <c r="J38" s="19">
        <f t="shared" si="37"/>
        <v>87473</v>
      </c>
      <c r="K38" s="19">
        <f t="shared" si="37"/>
        <v>86307</v>
      </c>
      <c r="L38" s="19">
        <f t="shared" si="37"/>
        <v>233776</v>
      </c>
      <c r="M38" s="19">
        <f t="shared" ref="M38:N38" si="38">+M39+M46</f>
        <v>187670</v>
      </c>
      <c r="N38" s="19">
        <f t="shared" si="38"/>
        <v>215018.79699999999</v>
      </c>
      <c r="O38" s="19">
        <f t="shared" ref="O38:P38" si="39">+O39+O46</f>
        <v>320800.11113999999</v>
      </c>
      <c r="P38" s="19">
        <f t="shared" si="39"/>
        <v>265372.11307999998</v>
      </c>
      <c r="Q38" s="19">
        <f t="shared" ref="Q38:R38" si="40">+Q39+Q46</f>
        <v>256986.96745999999</v>
      </c>
      <c r="R38" s="19">
        <f t="shared" si="40"/>
        <v>345015.33755</v>
      </c>
      <c r="S38" s="19">
        <f t="shared" ref="S38:T38" si="41">+S39+S46</f>
        <v>448958.50869000005</v>
      </c>
      <c r="T38" s="19">
        <f t="shared" si="41"/>
        <v>423780.04446999996</v>
      </c>
    </row>
    <row r="39" spans="1:20" ht="15.95" customHeight="1" x14ac:dyDescent="0.15">
      <c r="B39" s="7" t="s">
        <v>36</v>
      </c>
      <c r="C39" s="19">
        <f t="shared" ref="C39:G39" si="42">SUM(C40:C44)</f>
        <v>75148</v>
      </c>
      <c r="D39" s="19">
        <f t="shared" si="42"/>
        <v>242890</v>
      </c>
      <c r="E39" s="19">
        <f t="shared" si="42"/>
        <v>372388</v>
      </c>
      <c r="F39" s="19">
        <f t="shared" si="42"/>
        <v>10590</v>
      </c>
      <c r="G39" s="19">
        <f t="shared" si="42"/>
        <v>10491</v>
      </c>
      <c r="H39" s="19">
        <f t="shared" ref="H39:I39" si="43">SUM(H40:H44)</f>
        <v>10590</v>
      </c>
      <c r="I39" s="19">
        <f t="shared" si="43"/>
        <v>10639</v>
      </c>
      <c r="J39" s="19">
        <f t="shared" ref="J39" si="44">SUM(J40:J44)</f>
        <v>9540</v>
      </c>
      <c r="K39" s="19">
        <f t="shared" ref="K39:Q39" si="45">SUM(K40:K44)</f>
        <v>8639</v>
      </c>
      <c r="L39" s="19">
        <f t="shared" si="45"/>
        <v>43374</v>
      </c>
      <c r="M39" s="19">
        <f t="shared" si="45"/>
        <v>52936</v>
      </c>
      <c r="N39" s="19">
        <f t="shared" si="45"/>
        <v>27483.038</v>
      </c>
      <c r="O39" s="19">
        <f t="shared" si="45"/>
        <v>228451.02875</v>
      </c>
      <c r="P39" s="19">
        <f t="shared" si="45"/>
        <v>174484.68732</v>
      </c>
      <c r="Q39" s="19">
        <f t="shared" si="45"/>
        <v>156925.87961999999</v>
      </c>
      <c r="R39" s="19">
        <f t="shared" ref="R39:S39" si="46">SUM(R40:R44)</f>
        <v>56532.735629999996</v>
      </c>
      <c r="S39" s="19">
        <f t="shared" si="46"/>
        <v>125974.33040000001</v>
      </c>
      <c r="T39" s="19">
        <f t="shared" ref="T39" si="47">SUM(T40:T44)</f>
        <v>67076.851820000011</v>
      </c>
    </row>
    <row r="40" spans="1:20" ht="15" customHeight="1" x14ac:dyDescent="0.15">
      <c r="B40" s="2" t="s">
        <v>18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f>'[3]2015 - 2019'!R40+'[4]2015-2019'!R40</f>
        <v>0</v>
      </c>
      <c r="K40" s="32">
        <f>'[5]2015 - 2019'!S40+'[6]2015-2019'!S40</f>
        <v>100</v>
      </c>
      <c r="L40" s="32">
        <f>'[7]2015 - 2019'!T40+'[8]2015-2019'!T40</f>
        <v>100</v>
      </c>
      <c r="M40" s="32">
        <f>'[9]2015 - 2019'!U40+'[10]2015-2019'!U40</f>
        <v>100</v>
      </c>
      <c r="N40" s="32">
        <f>'[11]2015 - 2019'!V40+'[12]2015-2019'!V40</f>
        <v>100</v>
      </c>
      <c r="O40" s="32">
        <f>'[13]2015 - 2019'!W40+'[14]2016-2021'!W40</f>
        <v>100</v>
      </c>
      <c r="P40" s="32">
        <f>'[15]2016 - 2021'!X40+'[16]2016-2021'!X40</f>
        <v>100</v>
      </c>
      <c r="Q40" s="32">
        <f>'[17]2016 - 2021'!Y40+'[18]2016-2021'!Y40</f>
        <v>100</v>
      </c>
      <c r="R40" s="32">
        <f>'[19]2016 - 2021'!Z40+'[20]2016-2021'!Z40</f>
        <v>100</v>
      </c>
      <c r="S40" s="32">
        <f>'[21]2018 - 2022'!S40+'[22]2018-2022'!S40</f>
        <v>100</v>
      </c>
      <c r="T40" s="32">
        <f>'[23]2018 - 2022'!T40+'[24]2018-2022'!T40</f>
        <v>100</v>
      </c>
    </row>
    <row r="41" spans="1:20" ht="15" customHeight="1" x14ac:dyDescent="0.15">
      <c r="B41" s="2" t="s">
        <v>37</v>
      </c>
      <c r="C41" s="32">
        <v>0</v>
      </c>
      <c r="D41" s="32">
        <v>38353</v>
      </c>
      <c r="E41" s="32">
        <v>0</v>
      </c>
      <c r="F41" s="32">
        <f>('[1]2015 - 2018'!R41)+('[2]2015-2018'!R41)</f>
        <v>0</v>
      </c>
      <c r="G41" s="32">
        <v>0</v>
      </c>
      <c r="H41" s="32">
        <v>0</v>
      </c>
      <c r="I41" s="32">
        <v>0</v>
      </c>
      <c r="J41" s="32">
        <f>'[3]2015 - 2019'!R41+'[4]2015-2019'!R41</f>
        <v>0</v>
      </c>
      <c r="K41" s="32">
        <f>'[5]2015 - 2019'!S41+'[6]2015-2019'!S41</f>
        <v>0</v>
      </c>
      <c r="L41" s="32">
        <f>'[7]2015 - 2019'!T41+'[8]2015-2019'!T41</f>
        <v>0</v>
      </c>
      <c r="M41" s="32">
        <f>'[9]2015 - 2019'!U41+'[10]2015-2019'!U41</f>
        <v>0</v>
      </c>
      <c r="N41" s="32">
        <f>'[11]2015 - 2019'!V41+'[12]2015-2019'!V41</f>
        <v>0</v>
      </c>
      <c r="O41" s="32">
        <f>'[13]2015 - 2019'!W41+'[14]2016-2021'!W41</f>
        <v>0</v>
      </c>
      <c r="P41" s="32">
        <f>'[15]2016 - 2021'!X41+'[16]2016-2021'!X41</f>
        <v>0</v>
      </c>
      <c r="Q41" s="32">
        <f>'[17]2016 - 2021'!Y41+'[18]2016-2021'!Y41</f>
        <v>0</v>
      </c>
      <c r="R41" s="32">
        <f>'[19]2016 - 2021'!Z41+'[20]2016-2021'!Z41</f>
        <v>0</v>
      </c>
      <c r="S41" s="32">
        <f>'[21]2018 - 2022'!S41+'[22]2018-2022'!S41</f>
        <v>0</v>
      </c>
      <c r="T41" s="32">
        <f>'[23]2018 - 2022'!T41+'[24]2018-2022'!T41</f>
        <v>0</v>
      </c>
    </row>
    <row r="42" spans="1:20" ht="15" customHeight="1" x14ac:dyDescent="0.15">
      <c r="B42" s="2" t="s">
        <v>49</v>
      </c>
      <c r="C42" s="32">
        <v>0</v>
      </c>
      <c r="D42" s="32">
        <v>0</v>
      </c>
      <c r="E42" s="32">
        <v>0</v>
      </c>
      <c r="F42" s="32">
        <f>('[1]2015 - 2018'!R42)+('[2]2015-2018'!R42)</f>
        <v>0</v>
      </c>
      <c r="G42" s="32">
        <v>0</v>
      </c>
      <c r="H42" s="32">
        <v>0</v>
      </c>
      <c r="I42" s="32">
        <v>0</v>
      </c>
      <c r="J42" s="32">
        <f>'[3]2015 - 2019'!R42+'[4]2015-2019'!R42</f>
        <v>0</v>
      </c>
      <c r="K42" s="32">
        <f>'[5]2015 - 2019'!S42+'[6]2015-2019'!S42</f>
        <v>0</v>
      </c>
      <c r="L42" s="32">
        <f>'[7]2015 - 2019'!T42+'[8]2015-2019'!T42</f>
        <v>0</v>
      </c>
      <c r="M42" s="32">
        <f>'[9]2015 - 2019'!U42+'[10]2015-2019'!U42</f>
        <v>0</v>
      </c>
      <c r="N42" s="32">
        <f>'[11]2015 - 2019'!V42+'[12]2015-2019'!V42</f>
        <v>0</v>
      </c>
      <c r="O42" s="32">
        <f>'[13]2015 - 2019'!W42+'[14]2016-2021'!W42</f>
        <v>0</v>
      </c>
      <c r="P42" s="32">
        <f>'[15]2016 - 2021'!X42+'[16]2016-2021'!X42</f>
        <v>0</v>
      </c>
      <c r="Q42" s="32">
        <f>'[17]2016 - 2021'!Y42+'[18]2016-2021'!Y42</f>
        <v>0</v>
      </c>
      <c r="R42" s="32">
        <f>'[19]2016 - 2021'!Z42+'[20]2016-2021'!Z42</f>
        <v>0</v>
      </c>
      <c r="S42" s="32">
        <f>'[21]2018 - 2022'!S42+'[22]2018-2022'!S42</f>
        <v>0</v>
      </c>
      <c r="T42" s="32">
        <f>'[23]2018 - 2022'!T42+'[24]2018-2022'!T42</f>
        <v>0</v>
      </c>
    </row>
    <row r="43" spans="1:20" ht="15" customHeight="1" x14ac:dyDescent="0.15">
      <c r="B43" s="12" t="s">
        <v>64</v>
      </c>
      <c r="C43" s="32">
        <f>64558+10490</f>
        <v>75048</v>
      </c>
      <c r="D43" s="32">
        <f>10391+194046</f>
        <v>204437</v>
      </c>
      <c r="E43" s="32">
        <f>10342+361946</f>
        <v>372288</v>
      </c>
      <c r="F43" s="32">
        <f>('[1]2015 - 2018'!R43)+('[2]2015-2018'!R43)</f>
        <v>10490</v>
      </c>
      <c r="G43" s="32">
        <v>10391</v>
      </c>
      <c r="H43" s="32">
        <v>10490</v>
      </c>
      <c r="I43" s="32">
        <v>10539</v>
      </c>
      <c r="J43" s="32">
        <f>'[3]2015 - 2019'!R43+'[4]2015-2019'!R43</f>
        <v>9540</v>
      </c>
      <c r="K43" s="32">
        <f>'[5]2015 - 2019'!S43+'[6]2015-2019'!S43</f>
        <v>8539</v>
      </c>
      <c r="L43" s="32">
        <f>'[7]2015 - 2019'!T43+'[8]2015-2019'!T43</f>
        <v>43274</v>
      </c>
      <c r="M43" s="32">
        <f>'[9]2015 - 2019'!U43+'[10]2015-2019'!U43</f>
        <v>52836</v>
      </c>
      <c r="N43" s="32">
        <f>'[11]2015 - 2019'!V43+'[12]2015-2019'!V43</f>
        <v>27383.038</v>
      </c>
      <c r="O43" s="32">
        <f>'[13]2015 - 2019'!W43+'[14]2016-2021'!W43</f>
        <v>228351.02875</v>
      </c>
      <c r="P43" s="32">
        <f>'[15]2016 - 2021'!X43+'[16]2016-2021'!X43</f>
        <v>174384.68732</v>
      </c>
      <c r="Q43" s="32">
        <f>'[17]2016 - 2021'!Y43+'[18]2016-2021'!Y43</f>
        <v>156825.87961999999</v>
      </c>
      <c r="R43" s="32">
        <f>'[19]2016 - 2021'!Z43+'[20]2016-2021'!Z43</f>
        <v>56432.735629999996</v>
      </c>
      <c r="S43" s="32">
        <f>'[21]2018 - 2022'!S43+'[22]2018-2022'!S43</f>
        <v>125874.33040000001</v>
      </c>
      <c r="T43" s="32">
        <f>'[23]2018 - 2022'!T43+'[24]2018-2022'!T43</f>
        <v>66976.851820000011</v>
      </c>
    </row>
    <row r="44" spans="1:20" ht="15" customHeight="1" x14ac:dyDescent="0.15">
      <c r="B44" s="12" t="s">
        <v>86</v>
      </c>
      <c r="C44" s="32">
        <v>100</v>
      </c>
      <c r="D44" s="32">
        <v>100</v>
      </c>
      <c r="E44" s="32">
        <v>100</v>
      </c>
      <c r="F44" s="32">
        <v>100</v>
      </c>
      <c r="G44" s="32">
        <v>100</v>
      </c>
      <c r="H44" s="32">
        <v>100</v>
      </c>
      <c r="I44" s="32">
        <v>100</v>
      </c>
      <c r="J44" s="32">
        <f>'[3]2015 - 2019'!R44+'[4]2015-2019'!R44</f>
        <v>0</v>
      </c>
      <c r="K44" s="32">
        <f>'[5]2015 - 2019'!S44+'[6]2015-2019'!S44</f>
        <v>0</v>
      </c>
      <c r="L44" s="32">
        <f>'[7]2015 - 2019'!T44+'[8]2015-2019'!T44</f>
        <v>0</v>
      </c>
      <c r="M44" s="32">
        <f>'[9]2015 - 2019'!U44+'[10]2015-2019'!U44</f>
        <v>0</v>
      </c>
      <c r="N44" s="32">
        <f>'[11]2015 - 2019'!V44+'[12]2015-2019'!V44</f>
        <v>0</v>
      </c>
      <c r="O44" s="32">
        <f>'[13]2015 - 2019'!W44+'[14]2016-2021'!W44</f>
        <v>0</v>
      </c>
      <c r="P44" s="32">
        <f>'[15]2016 - 2021'!X44+'[16]2016-2021'!X44</f>
        <v>0</v>
      </c>
      <c r="Q44" s="32">
        <f>'[17]2016 - 2021'!Y44+'[18]2016-2021'!Y44</f>
        <v>0</v>
      </c>
      <c r="R44" s="32">
        <f>'[19]2016 - 2021'!Z44+'[20]2016-2021'!Z44</f>
        <v>0</v>
      </c>
      <c r="S44" s="32">
        <f>'[21]2018 - 2022'!S44+'[22]2018-2022'!S44</f>
        <v>0</v>
      </c>
      <c r="T44" s="32">
        <f>'[23]2018 - 2022'!T44+'[24]2018-2022'!T44</f>
        <v>0</v>
      </c>
    </row>
    <row r="45" spans="1:20" ht="6" customHeight="1" x14ac:dyDescent="0.15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8" customHeight="1" x14ac:dyDescent="0.15">
      <c r="B46" s="7" t="s">
        <v>38</v>
      </c>
      <c r="C46" s="19">
        <f t="shared" ref="C46:G46" si="48">+C47+C48+C49+C50+C51</f>
        <v>195751</v>
      </c>
      <c r="D46" s="19">
        <f t="shared" si="48"/>
        <v>96707</v>
      </c>
      <c r="E46" s="19">
        <f t="shared" si="48"/>
        <v>108245</v>
      </c>
      <c r="F46" s="19">
        <f t="shared" si="48"/>
        <v>77934</v>
      </c>
      <c r="G46" s="19">
        <f t="shared" si="48"/>
        <v>77934</v>
      </c>
      <c r="H46" s="19">
        <f t="shared" ref="H46:I46" si="49">+H47+H48+H49+H50+H51</f>
        <v>77934</v>
      </c>
      <c r="I46" s="19">
        <f t="shared" si="49"/>
        <v>77933</v>
      </c>
      <c r="J46" s="19">
        <f t="shared" ref="J46" si="50">+J47+J48+J49+J50+J51</f>
        <v>77933</v>
      </c>
      <c r="K46" s="19">
        <f t="shared" ref="K46:P46" si="51">+K47+K48+K49+K50+K51</f>
        <v>77668</v>
      </c>
      <c r="L46" s="19">
        <f t="shared" si="51"/>
        <v>190402</v>
      </c>
      <c r="M46" s="19">
        <f t="shared" si="51"/>
        <v>134734</v>
      </c>
      <c r="N46" s="19">
        <f t="shared" si="51"/>
        <v>187535.75899999999</v>
      </c>
      <c r="O46" s="19">
        <f t="shared" si="51"/>
        <v>92349.082389999996</v>
      </c>
      <c r="P46" s="19">
        <f t="shared" si="51"/>
        <v>90887.425759999984</v>
      </c>
      <c r="Q46" s="19">
        <f t="shared" ref="Q46:R46" si="52">+Q47+Q48+Q49+Q50+Q51</f>
        <v>100061.08783999999</v>
      </c>
      <c r="R46" s="19">
        <f t="shared" si="52"/>
        <v>288482.60191999999</v>
      </c>
      <c r="S46" s="19">
        <f t="shared" ref="S46:T46" si="53">+S47+S48+S49+S50+S51</f>
        <v>322984.17829000001</v>
      </c>
      <c r="T46" s="19">
        <f t="shared" si="53"/>
        <v>356703.19264999998</v>
      </c>
    </row>
    <row r="47" spans="1:20" ht="15" customHeight="1" x14ac:dyDescent="0.15">
      <c r="B47" s="16" t="s">
        <v>20</v>
      </c>
      <c r="C47" s="32">
        <f>187255+7623</f>
        <v>194878</v>
      </c>
      <c r="D47" s="32">
        <f>77623+2583</f>
        <v>80206</v>
      </c>
      <c r="E47" s="32">
        <f>77623+4174</f>
        <v>81797</v>
      </c>
      <c r="F47" s="32">
        <f>('[1]2015 - 2018'!R47)+('[2]2015-2018'!R47)</f>
        <v>77888</v>
      </c>
      <c r="G47" s="32">
        <f>265+77623</f>
        <v>77888</v>
      </c>
      <c r="H47" s="32">
        <f>77623+265</f>
        <v>77888</v>
      </c>
      <c r="I47" s="32">
        <f>77623+265</f>
        <v>77888</v>
      </c>
      <c r="J47" s="32">
        <f>'[3]2015 - 2019'!R47+'[4]2015-2019'!R47</f>
        <v>77888</v>
      </c>
      <c r="K47" s="32">
        <f>'[5]2015 - 2019'!S47+'[6]2015-2019'!S47</f>
        <v>77623</v>
      </c>
      <c r="L47" s="32">
        <f>'[7]2015 - 2019'!T47+'[8]2015-2019'!T47</f>
        <v>128018</v>
      </c>
      <c r="M47" s="32">
        <f>'[9]2015 - 2019'!U47+'[10]2015-2019'!U47</f>
        <v>101133</v>
      </c>
      <c r="N47" s="32">
        <f>'[11]2015 - 2019'!V47+'[12]2015-2019'!V47</f>
        <v>102775.935</v>
      </c>
      <c r="O47" s="32">
        <f>'[13]2015 - 2019'!W47+'[14]2016-2021'!W47</f>
        <v>80385.509529999996</v>
      </c>
      <c r="P47" s="32">
        <f>'[15]2016 - 2021'!X47+'[16]2016-2021'!X47</f>
        <v>80552.384699999995</v>
      </c>
      <c r="Q47" s="32">
        <f>'[17]2016 - 2021'!Y47+'[18]2016-2021'!Y47</f>
        <v>84619.435589999994</v>
      </c>
      <c r="R47" s="32">
        <f>'[19]2016 - 2021'!Z47+'[20]2016-2021'!Z47</f>
        <v>78340.440489999994</v>
      </c>
      <c r="S47" s="32">
        <f>'[21]2018 - 2022'!S47+'[22]2018-2022'!S47</f>
        <v>86689.762940000001</v>
      </c>
      <c r="T47" s="32">
        <f>'[23]2018 - 2022'!T47+'[24]2018-2022'!T47</f>
        <v>80239.347469999993</v>
      </c>
    </row>
    <row r="48" spans="1:20" ht="15" customHeight="1" x14ac:dyDescent="0.15">
      <c r="B48" s="12" t="s">
        <v>47</v>
      </c>
      <c r="C48" s="32">
        <v>822</v>
      </c>
      <c r="D48" s="32">
        <v>16455</v>
      </c>
      <c r="E48" s="32">
        <f>26402</f>
        <v>26402</v>
      </c>
      <c r="F48" s="32">
        <f>('[1]2015 - 2018'!R48)+('[2]2015-2018'!R48)</f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f>'[7]2015 - 2019'!T48+'[8]2015-2019'!T48</f>
        <v>40592</v>
      </c>
      <c r="M48" s="32">
        <f>'[9]2015 - 2019'!U48+'[10]2015-2019'!U48</f>
        <v>6937</v>
      </c>
      <c r="N48" s="32">
        <f>'[11]2015 - 2019'!V48+'[12]2015-2019'!V48</f>
        <v>67468.073999999993</v>
      </c>
      <c r="O48" s="32">
        <f>'[13]2015 - 2019'!W48+'[14]2016-2021'!W48</f>
        <v>2084.1769899999999</v>
      </c>
      <c r="P48" s="32">
        <f>'[15]2016 - 2021'!X48+'[16]2016-2021'!X48</f>
        <v>3549.4617699999999</v>
      </c>
      <c r="Q48" s="32">
        <f>'[17]2016 - 2021'!Y48+'[18]2016-2021'!Y48</f>
        <v>6594.4123099999997</v>
      </c>
      <c r="R48" s="32">
        <f>'[19]2016 - 2021'!Z48+'[20]2016-2021'!Z48</f>
        <v>51907.994720000002</v>
      </c>
      <c r="S48" s="32">
        <f>'[21]2018 - 2022'!S48+'[22]2018-2022'!S48</f>
        <v>53471.91231</v>
      </c>
      <c r="T48" s="32">
        <f>'[23]2018 - 2022'!T48+'[24]2018-2022'!T48</f>
        <v>96378.55816</v>
      </c>
    </row>
    <row r="49" spans="1:20" ht="15" customHeight="1" x14ac:dyDescent="0.15">
      <c r="B49" s="12" t="s">
        <v>64</v>
      </c>
      <c r="C49" s="32">
        <v>51</v>
      </c>
      <c r="D49" s="32">
        <v>46</v>
      </c>
      <c r="E49" s="32">
        <v>46</v>
      </c>
      <c r="F49" s="32">
        <f>('[1]2015 - 2018'!R49)+('[2]2015-2018'!R49)</f>
        <v>46</v>
      </c>
      <c r="G49" s="32">
        <v>46</v>
      </c>
      <c r="H49" s="32">
        <v>46</v>
      </c>
      <c r="I49" s="32">
        <v>45</v>
      </c>
      <c r="J49" s="32">
        <v>45</v>
      </c>
      <c r="K49" s="32">
        <v>45</v>
      </c>
      <c r="L49" s="32">
        <f>'[7]2015 - 2019'!T49+'[8]2015-2019'!T49</f>
        <v>21792</v>
      </c>
      <c r="M49" s="32">
        <f>'[9]2015 - 2019'!U49+'[10]2015-2019'!U49</f>
        <v>26664</v>
      </c>
      <c r="N49" s="32">
        <f>'[11]2015 - 2019'!V49+'[12]2015-2019'!V49</f>
        <v>17291.75</v>
      </c>
      <c r="O49" s="32">
        <f>'[13]2015 - 2019'!W49+'[14]2016-2021'!W49</f>
        <v>9879.3958700000003</v>
      </c>
      <c r="P49" s="32">
        <f>'[15]2016 - 2021'!X49+'[16]2016-2021'!X49</f>
        <v>6785.5792899999997</v>
      </c>
      <c r="Q49" s="32">
        <f>'[17]2016 - 2021'!Y49+'[18]2016-2021'!Y49</f>
        <v>8847.2399399999995</v>
      </c>
      <c r="R49" s="32">
        <f>'[19]2016 - 2021'!Z49+'[20]2016-2021'!Z49</f>
        <v>8487.5577099999991</v>
      </c>
      <c r="S49" s="32">
        <f>'[21]2018 - 2022'!S49+'[22]2018-2022'!S49</f>
        <v>10516.484039999999</v>
      </c>
      <c r="T49" s="32">
        <f>'[23]2018 - 2022'!T49+'[24]2018-2022'!T49</f>
        <v>8207.6890199999998</v>
      </c>
    </row>
    <row r="50" spans="1:20" ht="15" customHeight="1" x14ac:dyDescent="0.15">
      <c r="B50" s="12" t="s">
        <v>81</v>
      </c>
      <c r="C50" s="32">
        <v>0</v>
      </c>
      <c r="D50" s="32">
        <v>0</v>
      </c>
      <c r="E50" s="32">
        <v>0</v>
      </c>
      <c r="F50" s="32">
        <f>('[1]2015 - 2018'!R50)+('[2]2015-2018'!R50)</f>
        <v>0</v>
      </c>
      <c r="G50" s="32">
        <v>0</v>
      </c>
      <c r="H50" s="32">
        <v>0</v>
      </c>
      <c r="I50" s="32">
        <v>0</v>
      </c>
      <c r="J50" s="32">
        <f>'[3]2015 - 2019'!R50+'[4]2015-2019'!R50</f>
        <v>0</v>
      </c>
      <c r="K50" s="32">
        <f>'[5]2015 - 2019'!S50+'[6]2015-2019'!S50</f>
        <v>0</v>
      </c>
      <c r="L50" s="32">
        <f>'[7]2015 - 2019'!T50+'[8]2015-2019'!T50</f>
        <v>0</v>
      </c>
      <c r="M50" s="32">
        <f>'[9]2015 - 2019'!U50+'[10]2015-2019'!U50</f>
        <v>0</v>
      </c>
      <c r="N50" s="32">
        <f>'[11]2015 - 2019'!V50+'[12]2015-2019'!V50</f>
        <v>0</v>
      </c>
      <c r="O50" s="32">
        <f>'[13]2015 - 2019'!W50+'[14]2016-2021'!W50</f>
        <v>0</v>
      </c>
      <c r="P50" s="32">
        <f>'[15]2016 - 2021'!X50+'[16]2016-2021'!X50</f>
        <v>0</v>
      </c>
      <c r="Q50" s="32">
        <f>'[17]2016 - 2021'!Y50+'[18]2016-2021'!Y50</f>
        <v>0</v>
      </c>
      <c r="R50" s="32">
        <f>'[19]2016 - 2021'!Z50+'[20]2016-2021'!Z50</f>
        <v>0</v>
      </c>
      <c r="S50" s="32">
        <f>'[21]2018 - 2022'!S50+'[22]2018-2022'!S50</f>
        <v>0</v>
      </c>
      <c r="T50" s="32">
        <f>'[23]2018 - 2022'!T50+'[24]2018-2022'!T50</f>
        <v>0</v>
      </c>
    </row>
    <row r="51" spans="1:20" ht="15" customHeight="1" x14ac:dyDescent="0.15">
      <c r="B51" s="28" t="s">
        <v>87</v>
      </c>
      <c r="C51" s="32">
        <v>0</v>
      </c>
      <c r="D51" s="32">
        <v>0</v>
      </c>
      <c r="E51" s="32">
        <v>0</v>
      </c>
      <c r="F51" s="32">
        <f>('[1]2015 - 2018'!R51)+('[2]2015-2018'!R51)</f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f>'[7]2015 - 2019'!T51+'[8]2015-2019'!T51</f>
        <v>0</v>
      </c>
      <c r="M51" s="32">
        <f>'[9]2015 - 2019'!U51+'[10]2015-2019'!U51</f>
        <v>0</v>
      </c>
      <c r="N51" s="32">
        <f>'[11]2015 - 2019'!V51+'[12]2015-2019'!V51</f>
        <v>0</v>
      </c>
      <c r="O51" s="32">
        <f>'[13]2015 - 2019'!W51+'[14]2016-2021'!W51</f>
        <v>0</v>
      </c>
      <c r="P51" s="32">
        <f>'[15]2016 - 2021'!X51+'[16]2016-2021'!X51</f>
        <v>0</v>
      </c>
      <c r="Q51" s="32">
        <f>'[17]2016 - 2021'!Y51+'[18]2016-2021'!Y51</f>
        <v>0</v>
      </c>
      <c r="R51" s="32">
        <f>'[19]2016 - 2021'!Z51+'[20]2016-2021'!Z51</f>
        <v>149746.609</v>
      </c>
      <c r="S51" s="32">
        <f>'[21]2018 - 2022'!S51+'[22]2018-2022'!S51</f>
        <v>172306.019</v>
      </c>
      <c r="T51" s="32">
        <f>'[23]2018 - 2022'!T51+'[24]2018-2022'!T51</f>
        <v>171877.598</v>
      </c>
    </row>
    <row r="52" spans="1:20" ht="12" customHeight="1" x14ac:dyDescent="0.15">
      <c r="B52" s="1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" customHeight="1" x14ac:dyDescent="0.15">
      <c r="B53" s="1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" customHeight="1" x14ac:dyDescent="0.15">
      <c r="B54" s="1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" customHeight="1" x14ac:dyDescent="0.15">
      <c r="A55" s="4">
        <v>4</v>
      </c>
      <c r="B55" s="7" t="s">
        <v>16</v>
      </c>
      <c r="C55" s="19">
        <f t="shared" ref="C55:G55" si="54">+C56+C80</f>
        <v>10233290</v>
      </c>
      <c r="D55" s="19">
        <f t="shared" si="54"/>
        <v>10358950</v>
      </c>
      <c r="E55" s="19">
        <f t="shared" si="54"/>
        <v>9777369</v>
      </c>
      <c r="F55" s="19">
        <f t="shared" si="54"/>
        <v>8734943</v>
      </c>
      <c r="G55" s="19">
        <f t="shared" si="54"/>
        <v>5806813</v>
      </c>
      <c r="H55" s="19">
        <f t="shared" ref="H55:I55" si="55">+H56+H80</f>
        <v>5853869</v>
      </c>
      <c r="I55" s="19">
        <f t="shared" si="55"/>
        <v>5942883</v>
      </c>
      <c r="J55" s="19">
        <f t="shared" ref="J55" si="56">+J56+J80</f>
        <v>6342335</v>
      </c>
      <c r="K55" s="19">
        <f t="shared" ref="K55:P55" si="57">+K56+K80</f>
        <v>6690245</v>
      </c>
      <c r="L55" s="19">
        <f t="shared" si="57"/>
        <v>6696922</v>
      </c>
      <c r="M55" s="19">
        <f t="shared" si="57"/>
        <v>6501392</v>
      </c>
      <c r="N55" s="19">
        <f t="shared" si="57"/>
        <v>6011176.5529999994</v>
      </c>
      <c r="O55" s="19">
        <f t="shared" si="57"/>
        <v>5828664.3941400005</v>
      </c>
      <c r="P55" s="19">
        <f t="shared" si="57"/>
        <v>6270665.2748500006</v>
      </c>
      <c r="Q55" s="19">
        <f t="shared" ref="Q55:R55" si="58">+Q56+Q80</f>
        <v>6277416.9007699993</v>
      </c>
      <c r="R55" s="19">
        <f t="shared" si="58"/>
        <v>6848613.6475200001</v>
      </c>
      <c r="S55" s="19">
        <f t="shared" ref="S55:T55" si="59">+S56+S80</f>
        <v>6625533.2039700011</v>
      </c>
      <c r="T55" s="19">
        <f t="shared" si="59"/>
        <v>7373143.5626499997</v>
      </c>
    </row>
    <row r="56" spans="1:20" ht="15" customHeight="1" x14ac:dyDescent="0.15">
      <c r="B56" s="7" t="s">
        <v>36</v>
      </c>
      <c r="C56" s="19">
        <f t="shared" ref="C56:G56" si="60">SUM(C57,C58,C59,C63,C74)</f>
        <v>4081157</v>
      </c>
      <c r="D56" s="19">
        <f t="shared" si="60"/>
        <v>4591577</v>
      </c>
      <c r="E56" s="19">
        <f t="shared" si="60"/>
        <v>3974963</v>
      </c>
      <c r="F56" s="19">
        <f t="shared" si="60"/>
        <v>3744496</v>
      </c>
      <c r="G56" s="19">
        <f t="shared" si="60"/>
        <v>3799279</v>
      </c>
      <c r="H56" s="19">
        <f t="shared" ref="H56:I56" si="61">SUM(H57,H58,H59,H63,H74)</f>
        <v>3868127</v>
      </c>
      <c r="I56" s="19">
        <f t="shared" si="61"/>
        <v>3951843</v>
      </c>
      <c r="J56" s="19">
        <f t="shared" ref="J56" si="62">SUM(J57,J58,J59,J63,J74)</f>
        <v>4285757</v>
      </c>
      <c r="K56" s="19">
        <f t="shared" ref="K56:P56" si="63">SUM(K57,K58,K59,K63,K74)</f>
        <v>4785183</v>
      </c>
      <c r="L56" s="19">
        <f t="shared" si="63"/>
        <v>4653782</v>
      </c>
      <c r="M56" s="19">
        <f t="shared" si="63"/>
        <v>4687518</v>
      </c>
      <c r="N56" s="19">
        <f t="shared" si="63"/>
        <v>4443653.477</v>
      </c>
      <c r="O56" s="19">
        <f t="shared" si="63"/>
        <v>4415199.8102700002</v>
      </c>
      <c r="P56" s="19">
        <f t="shared" si="63"/>
        <v>4845705.7311400007</v>
      </c>
      <c r="Q56" s="19">
        <f t="shared" ref="Q56:R56" si="64">SUM(Q57,Q58,Q59,Q63,Q74)</f>
        <v>4861444.5393599998</v>
      </c>
      <c r="R56" s="19">
        <f t="shared" si="64"/>
        <v>5231351.2920900006</v>
      </c>
      <c r="S56" s="19">
        <f t="shared" ref="S56:T56" si="65">SUM(S57,S58,S59,S63,S74)</f>
        <v>5103361.3758800011</v>
      </c>
      <c r="T56" s="19">
        <f t="shared" si="65"/>
        <v>5904122.9710799996</v>
      </c>
    </row>
    <row r="57" spans="1:20" ht="15" customHeight="1" x14ac:dyDescent="0.15">
      <c r="B57" s="20" t="s">
        <v>3</v>
      </c>
      <c r="C57" s="32">
        <v>207071</v>
      </c>
      <c r="D57" s="32">
        <v>203994</v>
      </c>
      <c r="E57" s="32">
        <f>191665</f>
        <v>191665</v>
      </c>
      <c r="F57" s="32">
        <f>('[1]2015 - 2018'!R57)+('[2]2015-2018'!R57)</f>
        <v>188589</v>
      </c>
      <c r="G57" s="32">
        <v>176258</v>
      </c>
      <c r="H57" s="32">
        <v>173182</v>
      </c>
      <c r="I57" s="32">
        <v>160858</v>
      </c>
      <c r="J57" s="32">
        <f>'[3]2015 - 2019'!R57+'[4]2015-2019'!R57</f>
        <v>277115</v>
      </c>
      <c r="K57" s="32">
        <f>'[5]2015 - 2019'!S57+'[6]2015-2019'!S57</f>
        <v>262785</v>
      </c>
      <c r="L57" s="32">
        <f>'[7]2015 - 2019'!T57+'[8]2015-2019'!T57</f>
        <v>257709</v>
      </c>
      <c r="M57" s="32">
        <f>'[9]2015 - 2019'!U57+'[10]2015-2019'!U57</f>
        <v>243379</v>
      </c>
      <c r="N57" s="32">
        <f>'[11]2015 - 2019'!V57+'[12]2015-2019'!V57</f>
        <v>238297.57500000001</v>
      </c>
      <c r="O57" s="32">
        <f>'[13]2015 - 2019'!W57+'[14]2016-2021'!W57</f>
        <v>224447.88380000001</v>
      </c>
      <c r="P57" s="32">
        <f>'[15]2016 - 2021'!X57+'[16]2016-2021'!X57</f>
        <v>222705.81</v>
      </c>
      <c r="Q57" s="32">
        <f>'[17]2016 - 2021'!Y57+'[18]2016-2021'!Y57</f>
        <v>215265.8235</v>
      </c>
      <c r="R57" s="32">
        <f>'[19]2016 - 2021'!Z57+'[20]2016-2021'!Z57</f>
        <v>210670.08111999999</v>
      </c>
      <c r="S57" s="32">
        <f>'[21]2018 - 2022'!S57+'[22]2018-2022'!S57</f>
        <v>196820.38</v>
      </c>
      <c r="T57" s="32">
        <f>'[23]2018 - 2022'!T57+'[24]2018-2022'!T57</f>
        <v>518666.37053000001</v>
      </c>
    </row>
    <row r="58" spans="1:20" ht="15" customHeight="1" x14ac:dyDescent="0.15">
      <c r="B58" s="20" t="s">
        <v>14</v>
      </c>
      <c r="C58" s="32">
        <v>67040</v>
      </c>
      <c r="D58" s="32">
        <v>62452</v>
      </c>
      <c r="E58" s="32">
        <v>64002</v>
      </c>
      <c r="F58" s="32">
        <f>('[1]2015 - 2018'!R58)+('[2]2015-2018'!R58)</f>
        <v>60080</v>
      </c>
      <c r="G58" s="32">
        <v>62425</v>
      </c>
      <c r="H58" s="32">
        <v>60630</v>
      </c>
      <c r="I58" s="32">
        <v>62188</v>
      </c>
      <c r="J58" s="32">
        <f>'[3]2015 - 2019'!R58+'[4]2015-2019'!R58</f>
        <v>54065</v>
      </c>
      <c r="K58" s="32">
        <f>'[5]2015 - 2019'!S58+'[6]2015-2019'!S58</f>
        <v>67072</v>
      </c>
      <c r="L58" s="32">
        <f>'[7]2015 - 2019'!T58+'[8]2015-2019'!T58</f>
        <v>59250</v>
      </c>
      <c r="M58" s="32">
        <f>'[9]2015 - 2019'!U58+'[10]2015-2019'!U58</f>
        <v>46285</v>
      </c>
      <c r="N58" s="32">
        <f>'[11]2015 - 2019'!V58+'[12]2015-2019'!V58</f>
        <v>46476.716</v>
      </c>
      <c r="O58" s="32">
        <f>'[13]2015 - 2019'!W58+'[14]2016-2021'!W58</f>
        <v>44949.678999999996</v>
      </c>
      <c r="P58" s="32">
        <f>'[15]2016 - 2021'!X58+'[16]2016-2021'!X58</f>
        <v>42314.561999999998</v>
      </c>
      <c r="Q58" s="32">
        <f>'[17]2016 - 2021'!Y58+'[18]2016-2021'!Y58</f>
        <v>41526.963199999998</v>
      </c>
      <c r="R58" s="32">
        <f>'[19]2016 - 2021'!Z58+'[20]2016-2021'!Z58</f>
        <v>35694.495999999999</v>
      </c>
      <c r="S58" s="32">
        <f>'[21]2018 - 2022'!S58+'[22]2018-2022'!S58</f>
        <v>31499.052</v>
      </c>
      <c r="T58" s="32">
        <f>'[23]2018 - 2022'!T58+'[24]2018-2022'!T58</f>
        <v>28261.531999999999</v>
      </c>
    </row>
    <row r="59" spans="1:20" ht="15" customHeight="1" x14ac:dyDescent="0.15">
      <c r="B59" s="20" t="s">
        <v>17</v>
      </c>
      <c r="C59" s="32">
        <v>1241613</v>
      </c>
      <c r="D59" s="32">
        <v>1624219</v>
      </c>
      <c r="E59" s="32">
        <v>1098997</v>
      </c>
      <c r="F59" s="32">
        <f>('[1]2015 - 2018'!R59)+('[2]2015-2018'!R59)</f>
        <v>808872</v>
      </c>
      <c r="G59" s="32">
        <v>1118034</v>
      </c>
      <c r="H59" s="32">
        <f t="shared" ref="H59:M59" si="66">+H60+H61+H62</f>
        <v>1094819</v>
      </c>
      <c r="I59" s="32">
        <f t="shared" si="66"/>
        <v>1079738</v>
      </c>
      <c r="J59" s="32">
        <f t="shared" si="66"/>
        <v>1084816</v>
      </c>
      <c r="K59" s="32">
        <f t="shared" si="66"/>
        <v>1238446</v>
      </c>
      <c r="L59" s="32">
        <f t="shared" si="66"/>
        <v>1178323</v>
      </c>
      <c r="M59" s="32">
        <f t="shared" si="66"/>
        <v>1229678</v>
      </c>
      <c r="N59" s="32">
        <f t="shared" ref="N59:O59" si="67">+N60+N61+N62</f>
        <v>1207875.4180000001</v>
      </c>
      <c r="O59" s="32">
        <f t="shared" si="67"/>
        <v>1244756.8499099999</v>
      </c>
      <c r="P59" s="32">
        <f t="shared" ref="P59:Q59" si="68">+P60+P61+P62</f>
        <v>1300114.80375</v>
      </c>
      <c r="Q59" s="32">
        <f t="shared" si="68"/>
        <v>1340189.1081900001</v>
      </c>
      <c r="R59" s="32">
        <f t="shared" ref="R59:S59" si="69">+R60+R61+R62</f>
        <v>1375232.30782</v>
      </c>
      <c r="S59" s="32">
        <f t="shared" si="69"/>
        <v>1417947.8264100002</v>
      </c>
      <c r="T59" s="32">
        <f t="shared" ref="T59" si="70">+T60+T61+T62</f>
        <v>1434453.83813</v>
      </c>
    </row>
    <row r="60" spans="1:20" s="21" customFormat="1" ht="15" customHeight="1" x14ac:dyDescent="0.15">
      <c r="A60" s="29"/>
      <c r="B60" s="30" t="s">
        <v>27</v>
      </c>
      <c r="C60" s="31">
        <v>186194</v>
      </c>
      <c r="D60" s="31">
        <v>215799</v>
      </c>
      <c r="E60" s="31">
        <f>247782</f>
        <v>247782</v>
      </c>
      <c r="F60" s="31">
        <f>('[1]2015 - 2018'!R60)+('[2]2015-2018'!R60)</f>
        <v>258683</v>
      </c>
      <c r="G60" s="31">
        <v>376956</v>
      </c>
      <c r="H60" s="31">
        <v>373630</v>
      </c>
      <c r="I60" s="31">
        <v>266165</v>
      </c>
      <c r="J60" s="31">
        <f>'[3]2015 - 2019'!R60+'[4]2015-2019'!R60</f>
        <v>260409</v>
      </c>
      <c r="K60" s="31">
        <f>'[5]2015 - 2019'!S60+'[6]2015-2019'!S60</f>
        <v>382138</v>
      </c>
      <c r="L60" s="31">
        <f>'[7]2015 - 2019'!T60+'[8]2015-2019'!T60</f>
        <v>311488</v>
      </c>
      <c r="M60" s="31">
        <f>'[9]2015 - 2019'!U60+'[10]2015-2019'!U60</f>
        <v>324076</v>
      </c>
      <c r="N60" s="31">
        <f>'[11]2015 - 2019'!V60+'[12]2015-2019'!V60</f>
        <v>284018.05699999997</v>
      </c>
      <c r="O60" s="31">
        <f>'[13]2015 - 2019'!W60+'[14]2016-2021'!W60</f>
        <v>283600.53483000002</v>
      </c>
      <c r="P60" s="31">
        <f>'[15]2016 - 2021'!X60+'[16]2016-2021'!X60</f>
        <v>272289.45166000002</v>
      </c>
      <c r="Q60" s="31">
        <f>'[17]2016 - 2021'!Y60+'[18]2016-2021'!Y60</f>
        <v>243251.31297999999</v>
      </c>
      <c r="R60" s="31">
        <f>'[19]2016 - 2021'!Z60+'[20]2016-2021'!Z60</f>
        <v>248764.14240000001</v>
      </c>
      <c r="S60" s="31">
        <f>'[21]2018 - 2022'!S60+'[22]2018-2022'!S60</f>
        <v>254212.32177000001</v>
      </c>
      <c r="T60" s="31">
        <f>'[23]2018 - 2022'!T60+'[24]2018-2022'!T60</f>
        <v>239757.04417000001</v>
      </c>
    </row>
    <row r="61" spans="1:20" s="21" customFormat="1" ht="15" customHeight="1" x14ac:dyDescent="0.15">
      <c r="A61" s="29"/>
      <c r="B61" s="30" t="s">
        <v>28</v>
      </c>
      <c r="C61" s="31">
        <v>138289</v>
      </c>
      <c r="D61" s="31">
        <v>126514</v>
      </c>
      <c r="E61" s="31">
        <v>118655</v>
      </c>
      <c r="F61" s="31">
        <f>('[1]2015 - 2018'!R61)+('[2]2015-2018'!R61)</f>
        <v>114220</v>
      </c>
      <c r="G61" s="31">
        <v>144495</v>
      </c>
      <c r="H61" s="31">
        <v>136717</v>
      </c>
      <c r="I61" s="31">
        <v>153120</v>
      </c>
      <c r="J61" s="31">
        <f>'[3]2015 - 2019'!R61+'[4]2015-2019'!R61</f>
        <v>122831</v>
      </c>
      <c r="K61" s="31">
        <f>'[5]2015 - 2019'!S61+'[6]2015-2019'!S61</f>
        <v>136695</v>
      </c>
      <c r="L61" s="31">
        <f>'[7]2015 - 2019'!T61+'[8]2015-2019'!T61</f>
        <v>137574</v>
      </c>
      <c r="M61" s="31">
        <f>'[9]2015 - 2019'!U61+'[10]2015-2019'!U61</f>
        <v>145326</v>
      </c>
      <c r="N61" s="31">
        <f>'[11]2015 - 2019'!V61+'[12]2015-2019'!V61</f>
        <v>140378.59899999999</v>
      </c>
      <c r="O61" s="31">
        <f>'[13]2015 - 2019'!W61+'[14]2016-2021'!W61</f>
        <v>139006.89024000001</v>
      </c>
      <c r="P61" s="31">
        <f>'[15]2016 - 2021'!X61+'[16]2016-2021'!X61</f>
        <v>154506.55016000001</v>
      </c>
      <c r="Q61" s="31">
        <f>'[17]2016 - 2021'!Y61+'[18]2016-2021'!Y61</f>
        <v>145321.57219000001</v>
      </c>
      <c r="R61" s="31">
        <f>'[19]2016 - 2021'!Z61+'[20]2016-2021'!Z61</f>
        <v>151569.32816</v>
      </c>
      <c r="S61" s="31">
        <f>'[21]2018 - 2022'!S61+'[22]2018-2022'!S61</f>
        <v>155086.39058000001</v>
      </c>
      <c r="T61" s="31">
        <f>'[23]2018 - 2022'!T61+'[24]2018-2022'!T61</f>
        <v>173752.01295999999</v>
      </c>
    </row>
    <row r="62" spans="1:20" s="21" customFormat="1" ht="15" customHeight="1" x14ac:dyDescent="0.15">
      <c r="A62" s="29"/>
      <c r="B62" s="30" t="s">
        <v>93</v>
      </c>
      <c r="C62" s="31">
        <v>917130</v>
      </c>
      <c r="D62" s="31">
        <v>1281907</v>
      </c>
      <c r="E62" s="31">
        <v>732560</v>
      </c>
      <c r="F62" s="31">
        <f>('[1]2015 - 2018'!R62)+('[2]2015-2018'!R62)</f>
        <v>435969</v>
      </c>
      <c r="G62" s="31">
        <v>596583</v>
      </c>
      <c r="H62" s="31">
        <v>584472</v>
      </c>
      <c r="I62" s="31">
        <v>660453</v>
      </c>
      <c r="J62" s="31">
        <f>'[3]2015 - 2019'!R62+'[4]2015-2019'!R62</f>
        <v>701576</v>
      </c>
      <c r="K62" s="31">
        <f>'[5]2015 - 2019'!S62+'[6]2015-2019'!S62</f>
        <v>719613</v>
      </c>
      <c r="L62" s="31">
        <f>'[7]2015 - 2019'!T62+'[8]2015-2019'!T62</f>
        <v>729261</v>
      </c>
      <c r="M62" s="31">
        <f>'[9]2015 - 2019'!U62+'[10]2015-2019'!U62</f>
        <v>760276</v>
      </c>
      <c r="N62" s="31">
        <f>'[11]2015 - 2019'!V62+'[12]2015-2019'!V62</f>
        <v>783478.76199999999</v>
      </c>
      <c r="O62" s="31">
        <f>'[13]2015 - 2019'!W62+'[14]2016-2021'!W62</f>
        <v>822149.42483999999</v>
      </c>
      <c r="P62" s="31">
        <f>'[15]2016 - 2021'!X62+'[16]2016-2021'!X62</f>
        <v>873318.80192999996</v>
      </c>
      <c r="Q62" s="31">
        <f>'[17]2016 - 2021'!Y62+'[18]2016-2021'!Y62</f>
        <v>951616.22302000003</v>
      </c>
      <c r="R62" s="31">
        <f>'[19]2016 - 2021'!Z62+'[20]2016-2021'!Z62</f>
        <v>974898.83725999994</v>
      </c>
      <c r="S62" s="31">
        <f>'[21]2018 - 2022'!S62+'[22]2018-2022'!S62</f>
        <v>1008649.1140600001</v>
      </c>
      <c r="T62" s="31">
        <f>'[23]2018 - 2022'!T62+'[24]2018-2022'!T62</f>
        <v>1020944.781</v>
      </c>
    </row>
    <row r="63" spans="1:20" s="33" customFormat="1" ht="15" customHeight="1" x14ac:dyDescent="0.15">
      <c r="A63" s="1"/>
      <c r="B63" s="20" t="s">
        <v>59</v>
      </c>
      <c r="C63" s="13">
        <f>75528+33232</f>
        <v>108760</v>
      </c>
      <c r="D63" s="13">
        <f>+D68</f>
        <v>239893</v>
      </c>
      <c r="E63" s="13">
        <f>96384+77398</f>
        <v>173782</v>
      </c>
      <c r="F63" s="13">
        <f>('[1]2015 - 2018'!R63)+('[2]2015-2018'!R63)</f>
        <v>116942</v>
      </c>
      <c r="G63" s="13">
        <f>48253+9503</f>
        <v>57756</v>
      </c>
      <c r="H63" s="13">
        <f t="shared" ref="H63:M63" si="71">+H64+H68</f>
        <v>127150</v>
      </c>
      <c r="I63" s="13">
        <f t="shared" si="71"/>
        <v>200117</v>
      </c>
      <c r="J63" s="13">
        <f t="shared" si="71"/>
        <v>364887</v>
      </c>
      <c r="K63" s="13">
        <f t="shared" si="71"/>
        <v>737878</v>
      </c>
      <c r="L63" s="13">
        <f t="shared" si="71"/>
        <v>675003</v>
      </c>
      <c r="M63" s="13">
        <f t="shared" si="71"/>
        <v>653868</v>
      </c>
      <c r="N63" s="13">
        <f t="shared" ref="N63:O63" si="72">+N64+N68</f>
        <v>358708.27600000001</v>
      </c>
      <c r="O63" s="13">
        <f t="shared" si="72"/>
        <v>277797.87995999999</v>
      </c>
      <c r="P63" s="13">
        <f t="shared" ref="P63:Q63" si="73">+P64+P68</f>
        <v>611391.78237000015</v>
      </c>
      <c r="Q63" s="13">
        <f t="shared" si="73"/>
        <v>508297.50918000005</v>
      </c>
      <c r="R63" s="13">
        <f t="shared" ref="R63:S63" si="74">+R64+R68</f>
        <v>840657.63795999985</v>
      </c>
      <c r="S63" s="13">
        <f t="shared" si="74"/>
        <v>619846.69438999996</v>
      </c>
      <c r="T63" s="13">
        <f t="shared" ref="T63" si="75">+T64+T68</f>
        <v>1035854.9476999999</v>
      </c>
    </row>
    <row r="64" spans="1:20" s="33" customFormat="1" ht="15" customHeight="1" x14ac:dyDescent="0.15">
      <c r="A64" s="1"/>
      <c r="B64" s="34" t="s">
        <v>50</v>
      </c>
      <c r="C64" s="27">
        <v>0</v>
      </c>
      <c r="D64" s="27">
        <v>0</v>
      </c>
      <c r="E64" s="27">
        <v>0</v>
      </c>
      <c r="F64" s="27">
        <f>('[1]2015 - 2018'!R64)+('[2]2015-2018'!R64)</f>
        <v>0</v>
      </c>
      <c r="G64" s="27">
        <v>0</v>
      </c>
      <c r="H64" s="27">
        <v>0</v>
      </c>
      <c r="I64" s="27">
        <v>0</v>
      </c>
      <c r="J64" s="115">
        <f t="shared" ref="J64:O64" si="76">J65+J66+J67</f>
        <v>0</v>
      </c>
      <c r="K64" s="115">
        <f t="shared" si="76"/>
        <v>21</v>
      </c>
      <c r="L64" s="115">
        <f t="shared" si="76"/>
        <v>4</v>
      </c>
      <c r="M64" s="115">
        <f t="shared" si="76"/>
        <v>47473</v>
      </c>
      <c r="N64" s="115">
        <f t="shared" si="76"/>
        <v>31.411000000000001</v>
      </c>
      <c r="O64" s="115">
        <f t="shared" si="76"/>
        <v>0.78017999999999998</v>
      </c>
      <c r="P64" s="115">
        <f t="shared" ref="P64:Q64" si="77">P65+P66+P67</f>
        <v>0.75631000000000004</v>
      </c>
      <c r="Q64" s="115">
        <f t="shared" si="77"/>
        <v>0.75988</v>
      </c>
      <c r="R64" s="115">
        <f t="shared" ref="R64:S64" si="78">R65+R66+R67</f>
        <v>0.77227000000000001</v>
      </c>
      <c r="S64" s="115">
        <f t="shared" si="78"/>
        <v>0.85104999999999997</v>
      </c>
      <c r="T64" s="115">
        <f t="shared" ref="T64" si="79">T65+T66+T67</f>
        <v>42.725929999999998</v>
      </c>
    </row>
    <row r="65" spans="1:20" s="33" customFormat="1" ht="15" customHeight="1" x14ac:dyDescent="0.15">
      <c r="A65" s="1"/>
      <c r="B65" s="30" t="s">
        <v>51</v>
      </c>
      <c r="C65" s="31">
        <v>0</v>
      </c>
      <c r="D65" s="31">
        <v>0</v>
      </c>
      <c r="E65" s="31">
        <v>0</v>
      </c>
      <c r="F65" s="31">
        <f>('[1]2015 - 2018'!R65)+('[2]2015-2018'!R65)</f>
        <v>0</v>
      </c>
      <c r="G65" s="31">
        <v>0</v>
      </c>
      <c r="H65" s="31">
        <v>0</v>
      </c>
      <c r="I65" s="31">
        <v>0</v>
      </c>
      <c r="J65" s="31">
        <f>'[3]2015 - 2019'!R65+'[4]2015-2019'!R65</f>
        <v>0</v>
      </c>
      <c r="K65" s="31">
        <f>'[5]2015 - 2019'!S65+'[6]2015-2019'!S65</f>
        <v>0</v>
      </c>
      <c r="L65" s="31">
        <f>'[7]2015 - 2019'!T65+'[8]2015-2019'!T65</f>
        <v>0</v>
      </c>
      <c r="M65" s="31">
        <f>'[9]2015 - 2019'!U65+'[10]2015-2019'!U65</f>
        <v>0</v>
      </c>
      <c r="N65" s="31">
        <f>'[11]2015 - 2019'!V65+'[12]2015-2019'!V65</f>
        <v>0</v>
      </c>
      <c r="O65" s="31">
        <f>'[13]2015 - 2019'!W65+'[14]2016-2021'!W65</f>
        <v>0</v>
      </c>
      <c r="P65" s="31">
        <f>'[15]2016 - 2021'!X65+'[16]2016-2021'!X65</f>
        <v>0</v>
      </c>
      <c r="Q65" s="31">
        <f>'[17]2016 - 2021'!Y65+'[18]2016-2021'!Y65</f>
        <v>0</v>
      </c>
      <c r="R65" s="31">
        <f>'[19]2016 - 2021'!Z65+'[20]2016-2021'!Z65</f>
        <v>0</v>
      </c>
      <c r="S65" s="31">
        <f>'[21]2018 - 2022'!S65+'[22]2018-2022'!S65</f>
        <v>0</v>
      </c>
      <c r="T65" s="31">
        <f>'[23]2018 - 2022'!T65+'[24]2018-2022'!T65</f>
        <v>0</v>
      </c>
    </row>
    <row r="66" spans="1:20" s="33" customFormat="1" ht="15" customHeight="1" x14ac:dyDescent="0.15">
      <c r="A66" s="1"/>
      <c r="B66" s="30" t="s">
        <v>52</v>
      </c>
      <c r="C66" s="31">
        <v>0</v>
      </c>
      <c r="D66" s="31">
        <v>0</v>
      </c>
      <c r="E66" s="31">
        <v>0</v>
      </c>
      <c r="F66" s="31">
        <f>('[1]2015 - 2018'!R66)+('[2]2015-2018'!R66)</f>
        <v>0</v>
      </c>
      <c r="G66" s="31">
        <v>0</v>
      </c>
      <c r="H66" s="31">
        <v>0</v>
      </c>
      <c r="I66" s="31">
        <v>0</v>
      </c>
      <c r="J66" s="31">
        <f>'[3]2015 - 2019'!R66+'[4]2015-2019'!R66</f>
        <v>0</v>
      </c>
      <c r="K66" s="31">
        <f>'[5]2015 - 2019'!S66+'[6]2015-2019'!S66</f>
        <v>21</v>
      </c>
      <c r="L66" s="31">
        <f>'[7]2015 - 2019'!T66+'[8]2015-2019'!T66</f>
        <v>4</v>
      </c>
      <c r="M66" s="31">
        <f>'[9]2015 - 2019'!U66+'[10]2015-2019'!U66</f>
        <v>0</v>
      </c>
      <c r="N66" s="31">
        <f>'[11]2015 - 2019'!V66+'[12]2015-2019'!V66</f>
        <v>31.411000000000001</v>
      </c>
      <c r="O66" s="31">
        <f>'[13]2015 - 2019'!W66+'[14]2016-2021'!W66</f>
        <v>0.78017999999999998</v>
      </c>
      <c r="P66" s="31">
        <f>'[15]2016 - 2021'!X66+'[16]2016-2021'!X66</f>
        <v>0.75631000000000004</v>
      </c>
      <c r="Q66" s="31">
        <f>'[17]2016 - 2021'!Y66+'[18]2016-2021'!Y66</f>
        <v>0.75988</v>
      </c>
      <c r="R66" s="31">
        <f>'[19]2016 - 2021'!Z66+'[20]2016-2021'!Z66</f>
        <v>0.77227000000000001</v>
      </c>
      <c r="S66" s="31">
        <f>'[21]2018 - 2022'!S66+'[22]2018-2022'!S66</f>
        <v>0.85104999999999997</v>
      </c>
      <c r="T66" s="31">
        <f>'[23]2018 - 2022'!T66+'[24]2018-2022'!T66</f>
        <v>42.725929999999998</v>
      </c>
    </row>
    <row r="67" spans="1:20" s="33" customFormat="1" ht="15" customHeight="1" x14ac:dyDescent="0.15">
      <c r="A67" s="1"/>
      <c r="B67" s="30" t="s">
        <v>53</v>
      </c>
      <c r="C67" s="31">
        <v>0</v>
      </c>
      <c r="D67" s="31">
        <v>0</v>
      </c>
      <c r="E67" s="31">
        <v>0</v>
      </c>
      <c r="F67" s="31">
        <f>('[1]2015 - 2018'!R67)+('[2]2015-2018'!R67)</f>
        <v>0</v>
      </c>
      <c r="G67" s="31">
        <v>0</v>
      </c>
      <c r="H67" s="31">
        <v>0</v>
      </c>
      <c r="I67" s="31">
        <v>0</v>
      </c>
      <c r="J67" s="31">
        <f>'[3]2015 - 2019'!R67+'[4]2015-2019'!R67</f>
        <v>0</v>
      </c>
      <c r="K67" s="31">
        <f>'[5]2015 - 2019'!S67+'[6]2015-2019'!S67</f>
        <v>0</v>
      </c>
      <c r="L67" s="31">
        <f>'[7]2015 - 2019'!T67+'[8]2015-2019'!T67</f>
        <v>0</v>
      </c>
      <c r="M67" s="31">
        <f>'[9]2015 - 2019'!U67+'[10]2015-2019'!U67</f>
        <v>47473</v>
      </c>
      <c r="N67" s="31">
        <f>'[11]2015 - 2019'!V67+'[12]2015-2019'!V67</f>
        <v>0</v>
      </c>
      <c r="O67" s="31">
        <f>'[13]2015 - 2019'!W67+'[14]2016-2021'!W67</f>
        <v>0</v>
      </c>
      <c r="P67" s="31">
        <f>'[15]2016 - 2021'!X67+'[16]2016-2021'!X67</f>
        <v>0</v>
      </c>
      <c r="Q67" s="31">
        <f>'[17]2016 - 2021'!Y67+'[18]2016-2021'!Y67</f>
        <v>0</v>
      </c>
      <c r="R67" s="31">
        <f>'[19]2016 - 2021'!Z67+'[20]2016-2021'!Z67</f>
        <v>0</v>
      </c>
      <c r="S67" s="31">
        <f>'[21]2018 - 2022'!S67+'[22]2018-2022'!S67</f>
        <v>0</v>
      </c>
      <c r="T67" s="31">
        <f>'[23]2018 - 2022'!T67+'[24]2018-2022'!T67</f>
        <v>0</v>
      </c>
    </row>
    <row r="68" spans="1:20" s="33" customFormat="1" ht="15" customHeight="1" x14ac:dyDescent="0.15">
      <c r="A68" s="1"/>
      <c r="B68" s="18" t="s">
        <v>83</v>
      </c>
      <c r="C68" s="11">
        <f>33232+75528</f>
        <v>108760</v>
      </c>
      <c r="D68" s="11">
        <f>78591+161302</f>
        <v>239893</v>
      </c>
      <c r="E68" s="11">
        <f>96384+77398</f>
        <v>173782</v>
      </c>
      <c r="F68" s="11">
        <f>('[1]2015 - 2018'!R68)+('[2]2015-2018'!R68)</f>
        <v>116942</v>
      </c>
      <c r="G68" s="11">
        <v>57756</v>
      </c>
      <c r="H68" s="11">
        <f t="shared" ref="H68:M68" si="80">+H69+H70+H71+H72+H73</f>
        <v>127150</v>
      </c>
      <c r="I68" s="11">
        <f t="shared" si="80"/>
        <v>200117</v>
      </c>
      <c r="J68" s="11">
        <f t="shared" si="80"/>
        <v>364887</v>
      </c>
      <c r="K68" s="11">
        <f t="shared" si="80"/>
        <v>737857</v>
      </c>
      <c r="L68" s="11">
        <f t="shared" si="80"/>
        <v>674999</v>
      </c>
      <c r="M68" s="11">
        <f t="shared" si="80"/>
        <v>606395</v>
      </c>
      <c r="N68" s="11">
        <f t="shared" ref="N68:O68" si="81">+N69+N70+N71+N72+N73</f>
        <v>358676.86499999999</v>
      </c>
      <c r="O68" s="11">
        <f t="shared" si="81"/>
        <v>277797.09977999999</v>
      </c>
      <c r="P68" s="11">
        <f t="shared" ref="P68:Q68" si="82">+P69+P70+P71+P72+P73</f>
        <v>611391.02606000018</v>
      </c>
      <c r="Q68" s="11">
        <f t="shared" si="82"/>
        <v>508296.74930000002</v>
      </c>
      <c r="R68" s="11">
        <f t="shared" ref="R68:S68" si="83">+R69+R70+R71+R72+R73</f>
        <v>840656.86568999989</v>
      </c>
      <c r="S68" s="11">
        <f t="shared" si="83"/>
        <v>619845.8433399999</v>
      </c>
      <c r="T68" s="11">
        <f t="shared" ref="T68" si="84">+T69+T70+T71+T72+T73</f>
        <v>1035812.2217699999</v>
      </c>
    </row>
    <row r="69" spans="1:20" s="37" customFormat="1" ht="15" customHeight="1" x14ac:dyDescent="0.15">
      <c r="A69" s="29"/>
      <c r="B69" s="30" t="s">
        <v>54</v>
      </c>
      <c r="C69" s="31">
        <v>1291</v>
      </c>
      <c r="D69" s="31">
        <v>690</v>
      </c>
      <c r="E69" s="31">
        <v>688</v>
      </c>
      <c r="F69" s="31">
        <f>('[1]2015 - 2018'!R69)+('[2]2015-2018'!R69)</f>
        <v>679</v>
      </c>
      <c r="G69" s="31">
        <v>666</v>
      </c>
      <c r="H69" s="31">
        <v>654</v>
      </c>
      <c r="I69" s="31">
        <v>1641</v>
      </c>
      <c r="J69" s="31">
        <f>'[3]2015 - 2019'!R69+'[4]2015-2019'!R69</f>
        <v>3249</v>
      </c>
      <c r="K69" s="31">
        <f>'[5]2015 - 2019'!S69+'[6]2015-2019'!S69</f>
        <v>3197</v>
      </c>
      <c r="L69" s="31">
        <f>'[7]2015 - 2019'!T69+'[8]2015-2019'!T69</f>
        <v>3303</v>
      </c>
      <c r="M69" s="31">
        <f>'[9]2015 - 2019'!U69+'[10]2015-2019'!U69</f>
        <v>3116</v>
      </c>
      <c r="N69" s="31">
        <f>'[11]2015 - 2019'!V69+'[12]2015-2019'!V69</f>
        <v>3050.97</v>
      </c>
      <c r="O69" s="31">
        <f>'[13]2015 - 2019'!W69+'[14]2016-2021'!W69</f>
        <v>2978.61796</v>
      </c>
      <c r="P69" s="31">
        <f>'[15]2016 - 2021'!X69+'[16]2016-2021'!X69</f>
        <v>2916.66336</v>
      </c>
      <c r="Q69" s="31">
        <f>'[17]2016 - 2021'!Y69+'[18]2016-2021'!Y69</f>
        <v>4530.1396000000004</v>
      </c>
      <c r="R69" s="31">
        <f>'[19]2016 - 2021'!Z69+'[20]2016-2021'!Z69</f>
        <v>4435.3787300000004</v>
      </c>
      <c r="S69" s="31">
        <f>'[21]2018 - 2022'!S69+'[22]2018-2022'!S69</f>
        <v>4351.8720999999996</v>
      </c>
      <c r="T69" s="31">
        <f>'[23]2018 - 2022'!T69+'[24]2018-2022'!T69</f>
        <v>4268.1472899999999</v>
      </c>
    </row>
    <row r="70" spans="1:20" s="37" customFormat="1" ht="15" customHeight="1" x14ac:dyDescent="0.15">
      <c r="A70" s="29"/>
      <c r="B70" s="30" t="s">
        <v>55</v>
      </c>
      <c r="C70" s="31">
        <v>0</v>
      </c>
      <c r="D70" s="31">
        <v>8183</v>
      </c>
      <c r="E70" s="31">
        <v>6638</v>
      </c>
      <c r="F70" s="31">
        <f>('[1]2015 - 2018'!R70)+('[2]2015-2018'!R70)</f>
        <v>4779</v>
      </c>
      <c r="G70" s="31">
        <v>4611</v>
      </c>
      <c r="H70" s="31">
        <v>4442</v>
      </c>
      <c r="I70" s="31">
        <v>4333</v>
      </c>
      <c r="J70" s="31">
        <f>'[3]2015 - 2019'!R70+'[4]2015-2019'!R70</f>
        <v>4152</v>
      </c>
      <c r="K70" s="31">
        <f>'[5]2015 - 2019'!S70+'[6]2015-2019'!S70</f>
        <v>3993</v>
      </c>
      <c r="L70" s="31">
        <f>'[7]2015 - 2019'!T70+'[8]2015-2019'!T70</f>
        <v>3893</v>
      </c>
      <c r="M70" s="31">
        <f>'[9]2015 - 2019'!U70+'[10]2015-2019'!U70</f>
        <v>2730</v>
      </c>
      <c r="N70" s="31">
        <f>'[11]2015 - 2019'!V70+'[12]2015-2019'!V70</f>
        <v>1861.653</v>
      </c>
      <c r="O70" s="31">
        <f>'[13]2015 - 2019'!W70+'[14]2016-2021'!W70</f>
        <v>1873.1690000000001</v>
      </c>
      <c r="P70" s="31">
        <f>'[15]2016 - 2021'!X70+'[16]2016-2021'!X70</f>
        <v>1668.1379999999999</v>
      </c>
      <c r="Q70" s="31">
        <f>'[17]2016 - 2021'!Y70+'[18]2016-2021'!Y70</f>
        <v>1633.9359999999999</v>
      </c>
      <c r="R70" s="31">
        <f>'[19]2016 - 2021'!Z70+'[20]2016-2021'!Z70</f>
        <v>0</v>
      </c>
      <c r="S70" s="31">
        <f>'[21]2018 - 2022'!S70+'[22]2018-2022'!S70</f>
        <v>0</v>
      </c>
      <c r="T70" s="31">
        <f>'[23]2018 - 2022'!T70+'[24]2018-2022'!T70</f>
        <v>0</v>
      </c>
    </row>
    <row r="71" spans="1:20" s="37" customFormat="1" ht="15" customHeight="1" x14ac:dyDescent="0.15">
      <c r="A71" s="29"/>
      <c r="B71" s="30" t="s">
        <v>56</v>
      </c>
      <c r="C71" s="31">
        <v>4368</v>
      </c>
      <c r="D71" s="31">
        <v>0</v>
      </c>
      <c r="E71" s="31">
        <v>0</v>
      </c>
      <c r="F71" s="31">
        <f>('[1]2015 - 2018'!R71)+('[2]2015-2018'!R71)</f>
        <v>0</v>
      </c>
      <c r="G71" s="31">
        <v>0</v>
      </c>
      <c r="H71" s="31">
        <v>0</v>
      </c>
      <c r="I71" s="31">
        <v>0</v>
      </c>
      <c r="J71" s="31">
        <f>'[3]2015 - 2019'!R71+'[4]2015-2019'!R71</f>
        <v>0</v>
      </c>
      <c r="K71" s="31">
        <f>'[5]2015 - 2019'!S71+'[6]2015-2019'!S71</f>
        <v>0</v>
      </c>
      <c r="L71" s="31">
        <f>'[7]2015 - 2019'!T71+'[8]2015-2019'!T71</f>
        <v>32</v>
      </c>
      <c r="M71" s="31">
        <f>'[9]2015 - 2019'!U71+'[10]2015-2019'!U71</f>
        <v>0</v>
      </c>
      <c r="N71" s="31">
        <f>'[11]2015 - 2019'!V71+'[12]2015-2019'!V71</f>
        <v>8.5000000000000006E-2</v>
      </c>
      <c r="O71" s="31">
        <f>'[13]2015 - 2019'!W71+'[14]2016-2021'!W71</f>
        <v>0</v>
      </c>
      <c r="P71" s="31">
        <f>'[15]2016 - 2021'!X71+'[16]2016-2021'!X71</f>
        <v>0</v>
      </c>
      <c r="Q71" s="31">
        <f>'[17]2016 - 2021'!Y71+'[18]2016-2021'!Y71</f>
        <v>0</v>
      </c>
      <c r="R71" s="31">
        <f>'[19]2016 - 2021'!Z71+'[20]2016-2021'!Z71</f>
        <v>2.358E-2</v>
      </c>
      <c r="S71" s="31">
        <f>'[21]2018 - 2022'!S71+'[22]2018-2022'!S71</f>
        <v>2.358E-2</v>
      </c>
      <c r="T71" s="31">
        <f>'[23]2018 - 2022'!T71+'[24]2018-2022'!T71</f>
        <v>0</v>
      </c>
    </row>
    <row r="72" spans="1:20" s="37" customFormat="1" ht="15" customHeight="1" x14ac:dyDescent="0.15">
      <c r="A72" s="29"/>
      <c r="B72" s="38" t="s">
        <v>57</v>
      </c>
      <c r="C72" s="31">
        <f>33232+64080</f>
        <v>97312</v>
      </c>
      <c r="D72" s="31">
        <f>66751+161302</f>
        <v>228053</v>
      </c>
      <c r="E72" s="31">
        <f>85325+77398</f>
        <v>162723</v>
      </c>
      <c r="F72" s="31">
        <f>('[1]2015 - 2018'!R72)+('[2]2015-2018'!R72)</f>
        <v>107110</v>
      </c>
      <c r="G72" s="31">
        <f>48253+4226</f>
        <v>52479</v>
      </c>
      <c r="H72" s="31">
        <f>3803+116999</f>
        <v>120802</v>
      </c>
      <c r="I72" s="31">
        <f>3633+189258</f>
        <v>192891</v>
      </c>
      <c r="J72" s="31">
        <f>'[3]2015 - 2019'!R72+'[4]2015-2019'!R72</f>
        <v>347135</v>
      </c>
      <c r="K72" s="31">
        <f>'[5]2015 - 2019'!S72+'[6]2015-2019'!S72</f>
        <v>729483</v>
      </c>
      <c r="L72" s="31">
        <f>'[7]2015 - 2019'!T72+'[8]2015-2019'!T72</f>
        <v>666211</v>
      </c>
      <c r="M72" s="31">
        <f>'[9]2015 - 2019'!U72+'[10]2015-2019'!U72</f>
        <v>598407</v>
      </c>
      <c r="N72" s="31">
        <f>'[11]2015 - 2019'!V72+'[12]2015-2019'!V72</f>
        <v>351434.45500000002</v>
      </c>
      <c r="O72" s="31">
        <f>'[13]2015 - 2019'!W72+'[14]2016-2021'!W72</f>
        <v>269807.36154999997</v>
      </c>
      <c r="P72" s="31">
        <f>'[15]2016 - 2021'!X72+'[16]2016-2021'!X72</f>
        <v>603427.90594000008</v>
      </c>
      <c r="Q72" s="31">
        <f>'[17]2016 - 2021'!Y72+'[18]2016-2021'!Y72</f>
        <v>498694.33331000002</v>
      </c>
      <c r="R72" s="31">
        <f>'[19]2016 - 2021'!Z72+'[20]2016-2021'!Z72</f>
        <v>832572.0848699999</v>
      </c>
      <c r="S72" s="31">
        <f>'[21]2018 - 2022'!S72+'[22]2018-2022'!S72</f>
        <v>611844.21534</v>
      </c>
      <c r="T72" s="31">
        <f>'[23]2018 - 2022'!T72+'[24]2018-2022'!T72</f>
        <v>1027891.6885599999</v>
      </c>
    </row>
    <row r="73" spans="1:20" s="37" customFormat="1" ht="15" customHeight="1" x14ac:dyDescent="0.15">
      <c r="A73" s="29"/>
      <c r="B73" s="30" t="s">
        <v>102</v>
      </c>
      <c r="C73" s="31">
        <v>5789</v>
      </c>
      <c r="D73" s="31">
        <v>2967</v>
      </c>
      <c r="E73" s="31">
        <f>3733</f>
        <v>3733</v>
      </c>
      <c r="F73" s="31">
        <f>('[1]2015 - 2018'!R73)+('[2]2015-2018'!R73)</f>
        <v>4374</v>
      </c>
      <c r="G73" s="31">
        <v>0</v>
      </c>
      <c r="H73" s="31">
        <v>1252</v>
      </c>
      <c r="I73" s="31">
        <v>1252</v>
      </c>
      <c r="J73" s="31">
        <f>'[3]2015 - 2019'!R73+'[4]2015-2019'!R73</f>
        <v>10351</v>
      </c>
      <c r="K73" s="31">
        <f>'[5]2015 - 2019'!S73+'[6]2015-2019'!S73</f>
        <v>1184</v>
      </c>
      <c r="L73" s="31">
        <f>'[7]2015 - 2019'!T73+'[8]2015-2019'!T73</f>
        <v>1560</v>
      </c>
      <c r="M73" s="31">
        <f>'[9]2015 - 2019'!U73+'[10]2015-2019'!U73</f>
        <v>2142</v>
      </c>
      <c r="N73" s="31">
        <f>'[11]2015 - 2019'!V73+'[12]2015-2019'!V73</f>
        <v>2329.7020000000002</v>
      </c>
      <c r="O73" s="31">
        <f>'[13]2015 - 2019'!W73+'[14]2016-2021'!W73</f>
        <v>3137.95127</v>
      </c>
      <c r="P73" s="31">
        <f>'[15]2016 - 2021'!X73+'[16]2016-2021'!X73</f>
        <v>3378.3187600000001</v>
      </c>
      <c r="Q73" s="31">
        <f>'[17]2016 - 2021'!Y73+'[18]2016-2021'!Y73</f>
        <v>3438.3403899999998</v>
      </c>
      <c r="R73" s="31">
        <f>'[19]2016 - 2021'!Z73+'[20]2016-2021'!Z73</f>
        <v>3649.37851</v>
      </c>
      <c r="S73" s="31">
        <f>'[21]2018 - 2022'!S73+'[22]2018-2022'!S73</f>
        <v>3649.7323200000001</v>
      </c>
      <c r="T73" s="31">
        <f>'[23]2018 - 2022'!T73+'[24]2018-2022'!T73</f>
        <v>3652.3859200000002</v>
      </c>
    </row>
    <row r="74" spans="1:20" ht="15" customHeight="1" x14ac:dyDescent="0.15">
      <c r="B74" s="20" t="s">
        <v>4</v>
      </c>
      <c r="C74" s="24">
        <v>2456673</v>
      </c>
      <c r="D74" s="24">
        <v>2461019</v>
      </c>
      <c r="E74" s="24">
        <f>2446517</f>
        <v>2446517</v>
      </c>
      <c r="F74" s="24">
        <f>('[1]2015 - 2018'!R74)+('[2]2015-2018'!R74)</f>
        <v>2570013</v>
      </c>
      <c r="G74" s="24">
        <v>2384806</v>
      </c>
      <c r="H74" s="24">
        <f t="shared" ref="H74:M74" si="85">+H75+H76+H77+H78</f>
        <v>2412346</v>
      </c>
      <c r="I74" s="24">
        <f t="shared" si="85"/>
        <v>2448942</v>
      </c>
      <c r="J74" s="24">
        <f t="shared" si="85"/>
        <v>2504874</v>
      </c>
      <c r="K74" s="24">
        <f t="shared" si="85"/>
        <v>2479002</v>
      </c>
      <c r="L74" s="24">
        <f t="shared" si="85"/>
        <v>2483497</v>
      </c>
      <c r="M74" s="24">
        <f t="shared" si="85"/>
        <v>2514308</v>
      </c>
      <c r="N74" s="24">
        <f t="shared" ref="N74:O74" si="86">+N75+N76+N77+N78</f>
        <v>2592295.4919999996</v>
      </c>
      <c r="O74" s="24">
        <f t="shared" si="86"/>
        <v>2623247.5176000004</v>
      </c>
      <c r="P74" s="24">
        <f t="shared" ref="P74:Q74" si="87">+P75+P76+P77+P78</f>
        <v>2669178.7730200002</v>
      </c>
      <c r="Q74" s="24">
        <f t="shared" si="87"/>
        <v>2756165.1352900001</v>
      </c>
      <c r="R74" s="24">
        <f t="shared" ref="R74:S74" si="88">+R75+R76+R77+R78</f>
        <v>2769096.7691900004</v>
      </c>
      <c r="S74" s="24">
        <f t="shared" si="88"/>
        <v>2837247.4230800006</v>
      </c>
      <c r="T74" s="24">
        <f t="shared" ref="T74" si="89">+T75+T76+T77+T78</f>
        <v>2886886.2827199996</v>
      </c>
    </row>
    <row r="75" spans="1:20" ht="15" customHeight="1" x14ac:dyDescent="0.15">
      <c r="B75" s="30" t="s">
        <v>29</v>
      </c>
      <c r="C75" s="31">
        <v>2019993</v>
      </c>
      <c r="D75" s="31">
        <v>2014683</v>
      </c>
      <c r="E75" s="31">
        <v>2014798</v>
      </c>
      <c r="F75" s="31">
        <f>('[1]2015 - 2018'!R75)+('[2]2015-2018'!R75)</f>
        <v>2137044</v>
      </c>
      <c r="G75" s="31">
        <v>2034498</v>
      </c>
      <c r="H75" s="31">
        <v>2154238</v>
      </c>
      <c r="I75" s="31">
        <v>2089767</v>
      </c>
      <c r="J75" s="31">
        <f>'[3]2015 - 2019'!R75+'[4]2015-2019'!R75</f>
        <v>2126153</v>
      </c>
      <c r="K75" s="31">
        <f>'[5]2015 - 2019'!S75+'[6]2015-2019'!S75</f>
        <v>2143193</v>
      </c>
      <c r="L75" s="31">
        <f>'[7]2015 - 2019'!T75+'[8]2015-2019'!T75</f>
        <v>2169986</v>
      </c>
      <c r="M75" s="31">
        <f>'[9]2015 - 2019'!U75+'[10]2015-2019'!U75</f>
        <v>2195693</v>
      </c>
      <c r="N75" s="31">
        <f>'[11]2015 - 2019'!V75+'[12]2015-2019'!V75</f>
        <v>2265350.0389999999</v>
      </c>
      <c r="O75" s="31">
        <f>'[13]2015 - 2019'!W75+'[14]2016-2021'!W75</f>
        <v>2297295.3122899998</v>
      </c>
      <c r="P75" s="31">
        <f>'[15]2016 - 2021'!X75+'[16]2016-2021'!X75</f>
        <v>2350969.7376000001</v>
      </c>
      <c r="Q75" s="31">
        <f>'[17]2016 - 2021'!Y75+'[18]2016-2021'!Y75</f>
        <v>2420346.3556400002</v>
      </c>
      <c r="R75" s="31">
        <f>'[19]2016 - 2021'!Z75+'[20]2016-2021'!Z75</f>
        <v>2439740.5734000001</v>
      </c>
      <c r="S75" s="31">
        <f>'[21]2018 - 2022'!S75+'[22]2018-2022'!S75</f>
        <v>2501390.23227</v>
      </c>
      <c r="T75" s="31">
        <f>'[23]2018 - 2022'!T75+'[24]2018-2022'!T75</f>
        <v>2551694.9478099998</v>
      </c>
    </row>
    <row r="76" spans="1:20" ht="15" customHeight="1" x14ac:dyDescent="0.15">
      <c r="B76" s="30" t="s">
        <v>30</v>
      </c>
      <c r="C76" s="31">
        <v>68224</v>
      </c>
      <c r="D76" s="31">
        <v>75411</v>
      </c>
      <c r="E76" s="31">
        <v>72653</v>
      </c>
      <c r="F76" s="31">
        <f>('[1]2015 - 2018'!R76)+('[2]2015-2018'!R76)</f>
        <v>73304</v>
      </c>
      <c r="G76" s="31">
        <v>73229</v>
      </c>
      <c r="H76" s="31">
        <v>82844</v>
      </c>
      <c r="I76" s="31">
        <v>64715</v>
      </c>
      <c r="J76" s="31">
        <f>'[3]2015 - 2019'!R76+'[4]2015-2019'!R76</f>
        <v>68739</v>
      </c>
      <c r="K76" s="31">
        <f>'[5]2015 - 2019'!S76+'[6]2015-2019'!S76</f>
        <v>68685</v>
      </c>
      <c r="L76" s="31">
        <f>'[7]2015 - 2019'!T76+'[8]2015-2019'!T76</f>
        <v>69065</v>
      </c>
      <c r="M76" s="31">
        <f>'[9]2015 - 2019'!U76+'[10]2015-2019'!U76</f>
        <v>69252</v>
      </c>
      <c r="N76" s="31">
        <f>'[11]2015 - 2019'!V76+'[12]2015-2019'!V76</f>
        <v>70543.671000000002</v>
      </c>
      <c r="O76" s="31">
        <f>'[13]2015 - 2019'!W76+'[14]2016-2021'!W76</f>
        <v>69149.236690000005</v>
      </c>
      <c r="P76" s="31">
        <f>'[15]2016 - 2021'!X76+'[16]2016-2021'!X76</f>
        <v>68877.054220000005</v>
      </c>
      <c r="Q76" s="31">
        <f>'[17]2016 - 2021'!Y76+'[18]2016-2021'!Y76</f>
        <v>71089.593070000003</v>
      </c>
      <c r="R76" s="31">
        <f>'[19]2016 - 2021'!Z76+'[20]2016-2021'!Z76</f>
        <v>70035.704530000003</v>
      </c>
      <c r="S76" s="31">
        <f>'[21]2018 - 2022'!S76+'[22]2018-2022'!S76</f>
        <v>70643.665940000006</v>
      </c>
      <c r="T76" s="31">
        <f>'[23]2018 - 2022'!T76+'[24]2018-2022'!T76</f>
        <v>70833.507859999998</v>
      </c>
    </row>
    <row r="77" spans="1:20" ht="15" customHeight="1" x14ac:dyDescent="0.15">
      <c r="B77" s="30" t="s">
        <v>31</v>
      </c>
      <c r="C77" s="31">
        <v>7457</v>
      </c>
      <c r="D77" s="31">
        <v>8653</v>
      </c>
      <c r="E77" s="31">
        <v>7280</v>
      </c>
      <c r="F77" s="31">
        <f>('[1]2015 - 2018'!R77)+('[2]2015-2018'!R77)</f>
        <v>7003</v>
      </c>
      <c r="G77" s="31">
        <v>6274</v>
      </c>
      <c r="H77" s="31">
        <v>8820</v>
      </c>
      <c r="I77" s="31">
        <v>6005</v>
      </c>
      <c r="J77" s="31">
        <f>'[3]2015 - 2019'!R77+'[4]2015-2019'!R77</f>
        <v>5611</v>
      </c>
      <c r="K77" s="31">
        <f>'[5]2015 - 2019'!S77+'[6]2015-2019'!S77</f>
        <v>5503</v>
      </c>
      <c r="L77" s="31">
        <f>'[7]2015 - 2019'!T77+'[8]2015-2019'!T77</f>
        <v>5283</v>
      </c>
      <c r="M77" s="31">
        <f>'[9]2015 - 2019'!U77+'[10]2015-2019'!U77</f>
        <v>5395</v>
      </c>
      <c r="N77" s="31">
        <f>'[11]2015 - 2019'!V77+'[12]2015-2019'!V77</f>
        <v>4998.317</v>
      </c>
      <c r="O77" s="31">
        <f>'[13]2015 - 2019'!W77+'[14]2016-2021'!W77</f>
        <v>4761.1808000000001</v>
      </c>
      <c r="P77" s="31">
        <f>'[15]2016 - 2021'!X77+'[16]2016-2021'!X77</f>
        <v>4519.9509600000001</v>
      </c>
      <c r="Q77" s="31">
        <f>'[17]2016 - 2021'!Y77+'[18]2016-2021'!Y77</f>
        <v>4186.85743</v>
      </c>
      <c r="R77" s="31">
        <f>'[19]2016 - 2021'!Z77+'[20]2016-2021'!Z77</f>
        <v>3961.0201299999999</v>
      </c>
      <c r="S77" s="31">
        <f>'[21]2018 - 2022'!S77+'[22]2018-2022'!S77</f>
        <v>3819.4129400000002</v>
      </c>
      <c r="T77" s="31">
        <f>'[23]2018 - 2022'!T77+'[24]2018-2022'!T77</f>
        <v>3376.8621400000002</v>
      </c>
    </row>
    <row r="78" spans="1:20" ht="15" customHeight="1" x14ac:dyDescent="0.15">
      <c r="B78" s="30" t="s">
        <v>32</v>
      </c>
      <c r="C78" s="31">
        <v>360999</v>
      </c>
      <c r="D78" s="31">
        <v>362272</v>
      </c>
      <c r="E78" s="31">
        <f>260901+90885</f>
        <v>351786</v>
      </c>
      <c r="F78" s="31">
        <f>('[1]2015 - 2018'!R78)+('[2]2015-2018'!R78)</f>
        <v>352662</v>
      </c>
      <c r="G78" s="31">
        <v>270805</v>
      </c>
      <c r="H78" s="31">
        <v>166444</v>
      </c>
      <c r="I78" s="31">
        <v>288455</v>
      </c>
      <c r="J78" s="31">
        <f>'[3]2015 - 2019'!R78+'[4]2015-2019'!R78</f>
        <v>304371</v>
      </c>
      <c r="K78" s="31">
        <f>'[5]2015 - 2019'!S78+'[6]2015-2019'!S78</f>
        <v>261621</v>
      </c>
      <c r="L78" s="31">
        <f>'[7]2015 - 2019'!T78+'[8]2015-2019'!T78</f>
        <v>239163</v>
      </c>
      <c r="M78" s="31">
        <f>'[9]2015 - 2019'!U78+'[10]2015-2019'!U78</f>
        <v>243968</v>
      </c>
      <c r="N78" s="31">
        <f>'[11]2015 - 2019'!V78+'[12]2015-2019'!V78</f>
        <v>251403.465</v>
      </c>
      <c r="O78" s="31">
        <f>'[13]2015 - 2019'!W78+'[14]2016-2021'!W78</f>
        <v>252041.78782</v>
      </c>
      <c r="P78" s="31">
        <f>'[15]2016 - 2021'!X78+'[16]2016-2021'!X78</f>
        <v>244812.03023999999</v>
      </c>
      <c r="Q78" s="31">
        <f>'[17]2016 - 2021'!Y78+'[18]2016-2021'!Y78</f>
        <v>260542.32915000001</v>
      </c>
      <c r="R78" s="31">
        <f>'[19]2016 - 2021'!Z78+'[20]2016-2021'!Z78</f>
        <v>255359.47112999999</v>
      </c>
      <c r="S78" s="31">
        <f>'[21]2018 - 2022'!S78+'[22]2018-2022'!S78</f>
        <v>261394.11192999998</v>
      </c>
      <c r="T78" s="31">
        <f>'[23]2018 - 2022'!T78+'[24]2018-2022'!T78</f>
        <v>260980.96490999998</v>
      </c>
    </row>
    <row r="79" spans="1:20" ht="6" customHeight="1" x14ac:dyDescent="0.15">
      <c r="B79" s="21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5" customHeight="1" x14ac:dyDescent="0.15">
      <c r="B80" s="39" t="s">
        <v>38</v>
      </c>
      <c r="C80" s="19">
        <f t="shared" ref="C80:G80" si="90">SUM(C81:C85)</f>
        <v>6152133</v>
      </c>
      <c r="D80" s="19">
        <f t="shared" si="90"/>
        <v>5767373</v>
      </c>
      <c r="E80" s="19">
        <f t="shared" si="90"/>
        <v>5802406</v>
      </c>
      <c r="F80" s="19">
        <f t="shared" si="90"/>
        <v>4990447</v>
      </c>
      <c r="G80" s="19">
        <f t="shared" si="90"/>
        <v>2007534</v>
      </c>
      <c r="H80" s="19">
        <f t="shared" ref="H80:I80" si="91">SUM(H81:H85)</f>
        <v>1985742</v>
      </c>
      <c r="I80" s="19">
        <f t="shared" si="91"/>
        <v>1991040</v>
      </c>
      <c r="J80" s="19">
        <f t="shared" ref="J80" si="92">SUM(J81:J85)</f>
        <v>2056578</v>
      </c>
      <c r="K80" s="19">
        <f t="shared" ref="K80:P80" si="93">SUM(K81:K85)</f>
        <v>1905062</v>
      </c>
      <c r="L80" s="19">
        <f t="shared" si="93"/>
        <v>2043140</v>
      </c>
      <c r="M80" s="19">
        <f t="shared" si="93"/>
        <v>1813874</v>
      </c>
      <c r="N80" s="19">
        <f t="shared" si="93"/>
        <v>1567523.0759999999</v>
      </c>
      <c r="O80" s="19">
        <f t="shared" si="93"/>
        <v>1413464.58387</v>
      </c>
      <c r="P80" s="19">
        <f t="shared" si="93"/>
        <v>1424959.5437099999</v>
      </c>
      <c r="Q80" s="19">
        <f t="shared" ref="Q80:R80" si="94">SUM(Q81:Q85)</f>
        <v>1415972.3614099999</v>
      </c>
      <c r="R80" s="19">
        <f t="shared" si="94"/>
        <v>1617262.35543</v>
      </c>
      <c r="S80" s="19">
        <f t="shared" ref="S80:T80" si="95">SUM(S81:S85)</f>
        <v>1522171.82809</v>
      </c>
      <c r="T80" s="19">
        <f t="shared" si="95"/>
        <v>1469020.5915699999</v>
      </c>
    </row>
    <row r="81" spans="1:20" ht="15" customHeight="1" x14ac:dyDescent="0.15">
      <c r="B81" s="16" t="s">
        <v>20</v>
      </c>
      <c r="C81" s="32">
        <v>670</v>
      </c>
      <c r="D81" s="32">
        <v>30</v>
      </c>
      <c r="E81" s="32">
        <v>427</v>
      </c>
      <c r="F81" s="32">
        <f>('[1]2015 - 2018'!R81)+('[2]2015-2018'!R81)</f>
        <v>842</v>
      </c>
      <c r="G81" s="32">
        <v>1077</v>
      </c>
      <c r="H81" s="32">
        <v>1428</v>
      </c>
      <c r="I81" s="32">
        <v>31219</v>
      </c>
      <c r="J81" s="32">
        <f>'[3]2015 - 2019'!R81+'[4]2015-2019'!R81</f>
        <v>33534</v>
      </c>
      <c r="K81" s="32">
        <f>'[5]2015 - 2019'!S81+'[6]2015-2019'!S81</f>
        <v>31676</v>
      </c>
      <c r="L81" s="32">
        <f>'[7]2015 - 2019'!T81+'[8]2015-2019'!T81</f>
        <v>31700</v>
      </c>
      <c r="M81" s="32">
        <f>'[9]2015 - 2019'!U81+'[10]2015-2019'!U81</f>
        <v>33471</v>
      </c>
      <c r="N81" s="32">
        <f>'[11]2015 - 2019'!V81+'[12]2015-2019'!V81</f>
        <v>35574.097000000002</v>
      </c>
      <c r="O81" s="32">
        <f>'[13]2015 - 2019'!W81+'[14]2016-2021'!W81</f>
        <v>35853.096669999999</v>
      </c>
      <c r="P81" s="32">
        <f>'[15]2016 - 2021'!X81+'[16]2016-2021'!X81</f>
        <v>35911.846669999999</v>
      </c>
      <c r="Q81" s="32">
        <f>'[17]2016 - 2021'!Y81+'[18]2016-2021'!Y81</f>
        <v>33688.75</v>
      </c>
      <c r="R81" s="32">
        <f>'[19]2016 - 2021'!Z81+'[20]2016-2021'!Z81</f>
        <v>34051.517379999998</v>
      </c>
      <c r="S81" s="32">
        <f>'[21]2018 - 2022'!S81+'[22]2018-2022'!S81</f>
        <v>32841.25</v>
      </c>
      <c r="T81" s="32">
        <f>'[23]2018 - 2022'!T81+'[24]2018-2022'!T81</f>
        <v>30455</v>
      </c>
    </row>
    <row r="82" spans="1:20" ht="15" customHeight="1" x14ac:dyDescent="0.15">
      <c r="B82" s="12" t="s">
        <v>47</v>
      </c>
      <c r="C82" s="32">
        <v>0</v>
      </c>
      <c r="D82" s="32">
        <v>0</v>
      </c>
      <c r="E82" s="32">
        <f>137</f>
        <v>137</v>
      </c>
      <c r="F82" s="32">
        <f>('[1]2015 - 2018'!R82)+('[2]2015-2018'!R82)</f>
        <v>0</v>
      </c>
      <c r="G82" s="32">
        <v>0</v>
      </c>
      <c r="H82" s="32">
        <v>91</v>
      </c>
      <c r="I82" s="32">
        <v>0</v>
      </c>
      <c r="J82" s="32">
        <f>'[3]2015 - 2019'!R82+'[4]2015-2019'!R82</f>
        <v>0</v>
      </c>
      <c r="K82" s="32">
        <f>'[5]2015 - 2019'!S82+'[6]2015-2019'!S82</f>
        <v>0</v>
      </c>
      <c r="L82" s="32">
        <f>'[7]2015 - 2019'!T82+'[8]2015-2019'!T82</f>
        <v>60</v>
      </c>
      <c r="M82" s="32">
        <f>'[9]2015 - 2019'!U82+'[10]2015-2019'!U82</f>
        <v>0</v>
      </c>
      <c r="N82" s="32">
        <f>'[11]2015 - 2019'!V82+'[12]2015-2019'!V82</f>
        <v>60.043999999999997</v>
      </c>
      <c r="O82" s="32">
        <f>'[13]2015 - 2019'!W82+'[14]2016-2021'!W82</f>
        <v>0</v>
      </c>
      <c r="P82" s="32">
        <f>'[15]2016 - 2021'!X82+'[16]2016-2021'!X82</f>
        <v>0.22600000000000001</v>
      </c>
      <c r="Q82" s="32">
        <f>'[17]2016 - 2021'!Y82+'[18]2016-2021'!Y82</f>
        <v>0</v>
      </c>
      <c r="R82" s="32">
        <f>'[19]2016 - 2021'!Z82+'[20]2016-2021'!Z82</f>
        <v>0</v>
      </c>
      <c r="S82" s="32">
        <f>'[21]2018 - 2022'!S82+'[22]2018-2022'!S82</f>
        <v>0</v>
      </c>
      <c r="T82" s="32">
        <f>'[23]2018 - 2022'!T82+'[24]2018-2022'!T82</f>
        <v>0</v>
      </c>
    </row>
    <row r="83" spans="1:20" ht="15" customHeight="1" x14ac:dyDescent="0.15">
      <c r="B83" s="12" t="s">
        <v>64</v>
      </c>
      <c r="C83" s="32">
        <f>20419+121890</f>
        <v>142309</v>
      </c>
      <c r="D83" s="32">
        <f>125510+36284</f>
        <v>161794</v>
      </c>
      <c r="E83" s="32">
        <f>126091+18635</f>
        <v>144726</v>
      </c>
      <c r="F83" s="32">
        <f>('[1]2015 - 2018'!R83)+('[2]2015-2018'!R83)</f>
        <v>152143</v>
      </c>
      <c r="G83" s="32">
        <f>46696+65251</f>
        <v>111947</v>
      </c>
      <c r="H83" s="32">
        <f>70098+38279</f>
        <v>108377</v>
      </c>
      <c r="I83" s="32">
        <f>78229+55764</f>
        <v>133993</v>
      </c>
      <c r="J83" s="32">
        <f>'[3]2015 - 2019'!R83+'[4]2015-2019'!R83</f>
        <v>346882</v>
      </c>
      <c r="K83" s="32">
        <f>'[5]2015 - 2019'!S83+'[6]2015-2019'!S83</f>
        <v>233356</v>
      </c>
      <c r="L83" s="32">
        <f>'[7]2015 - 2019'!T83+'[8]2015-2019'!T83</f>
        <v>357974</v>
      </c>
      <c r="M83" s="32">
        <f>'[9]2015 - 2019'!U83+'[10]2015-2019'!U83</f>
        <v>259153</v>
      </c>
      <c r="N83" s="32">
        <f>'[11]2015 - 2019'!V83+'[12]2015-2019'!V83</f>
        <v>308211.83</v>
      </c>
      <c r="O83" s="32">
        <f>'[13]2015 - 2019'!W83+'[14]2016-2021'!W83</f>
        <v>172147.66381</v>
      </c>
      <c r="P83" s="32">
        <f>'[15]2016 - 2021'!X83+'[16]2016-2021'!X83</f>
        <v>176951.48668999999</v>
      </c>
      <c r="Q83" s="32">
        <f>'[17]2016 - 2021'!Y83+'[18]2016-2021'!Y83</f>
        <v>175769.90534</v>
      </c>
      <c r="R83" s="32">
        <f>'[19]2016 - 2021'!Z83+'[20]2016-2021'!Z83</f>
        <v>466707.01053999999</v>
      </c>
      <c r="S83" s="32">
        <f>'[21]2018 - 2022'!S83+'[22]2018-2022'!S83</f>
        <v>453013.73447999998</v>
      </c>
      <c r="T83" s="32">
        <f>'[23]2018 - 2022'!T83+'[24]2018-2022'!T83</f>
        <v>406630.36099999998</v>
      </c>
    </row>
    <row r="84" spans="1:20" ht="15" customHeight="1" x14ac:dyDescent="0.15">
      <c r="B84" s="12" t="s">
        <v>81</v>
      </c>
      <c r="C84" s="32">
        <f>2415141+1728446</f>
        <v>4143587</v>
      </c>
      <c r="D84" s="32">
        <f>1388420+2343058</f>
        <v>3731478</v>
      </c>
      <c r="E84" s="32">
        <f>1698018+2152871</f>
        <v>3850889</v>
      </c>
      <c r="F84" s="32">
        <f>('[1]2015 - 2018'!R84)+('[2]2015-2018'!R84)</f>
        <v>3778284</v>
      </c>
      <c r="G84" s="32">
        <v>1570823</v>
      </c>
      <c r="H84" s="32">
        <v>1544665</v>
      </c>
      <c r="I84" s="32">
        <v>1496991</v>
      </c>
      <c r="J84" s="32">
        <f>'[3]2015 - 2019'!R84+'[4]2015-2019'!R84</f>
        <v>1197757</v>
      </c>
      <c r="K84" s="32">
        <f>'[5]2015 - 2019'!S84+'[6]2015-2019'!S84</f>
        <v>1139621</v>
      </c>
      <c r="L84" s="32">
        <f>'[7]2015 - 2019'!T84+'[8]2015-2019'!T84</f>
        <v>1147124</v>
      </c>
      <c r="M84" s="32">
        <f>'[9]2015 - 2019'!U84+'[10]2015-2019'!U84</f>
        <v>988931</v>
      </c>
      <c r="N84" s="32">
        <f>'[11]2015 - 2019'!V84+'[12]2015-2019'!V84</f>
        <v>688303.05700000003</v>
      </c>
      <c r="O84" s="32">
        <f>'[13]2015 - 2019'!W84+'[14]2016-2021'!W84</f>
        <v>669032.90157999995</v>
      </c>
      <c r="P84" s="32">
        <f>'[15]2016 - 2021'!X84+'[16]2016-2021'!X84</f>
        <v>680504.92854999995</v>
      </c>
      <c r="Q84" s="32">
        <f>'[17]2016 - 2021'!Y84+'[18]2016-2021'!Y84</f>
        <v>677296.88437999994</v>
      </c>
      <c r="R84" s="32">
        <f>'[19]2016 - 2021'!Z84+'[20]2016-2021'!Z84</f>
        <v>603388.88624999998</v>
      </c>
      <c r="S84" s="32">
        <f>'[21]2018 - 2022'!S84+'[22]2018-2022'!S84</f>
        <v>583902.29055999999</v>
      </c>
      <c r="T84" s="32">
        <f>'[23]2018 - 2022'!T84+'[24]2018-2022'!T84</f>
        <v>564154.45178999996</v>
      </c>
    </row>
    <row r="85" spans="1:20" ht="15" customHeight="1" x14ac:dyDescent="0.15">
      <c r="B85" s="12" t="s">
        <v>84</v>
      </c>
      <c r="C85" s="32">
        <f>1485865+379702</f>
        <v>1865567</v>
      </c>
      <c r="D85" s="32">
        <f>385326+1488745</f>
        <v>1874071</v>
      </c>
      <c r="E85" s="32">
        <f>380301+1425926</f>
        <v>1806227</v>
      </c>
      <c r="F85" s="32">
        <f>('[1]2015 - 2018'!R85)+('[2]2015-2018'!R85)</f>
        <v>1059178</v>
      </c>
      <c r="G85" s="32">
        <v>323687</v>
      </c>
      <c r="H85" s="32">
        <v>331181</v>
      </c>
      <c r="I85" s="32">
        <v>328837</v>
      </c>
      <c r="J85" s="32">
        <f>'[3]2015 - 2019'!R85+'[4]2015-2019'!R85</f>
        <v>478405</v>
      </c>
      <c r="K85" s="32">
        <f>'[5]2015 - 2019'!S85+'[6]2015-2019'!S85</f>
        <v>500409</v>
      </c>
      <c r="L85" s="32">
        <f>'[7]2015 - 2019'!T85+'[8]2015-2019'!T85</f>
        <v>506282</v>
      </c>
      <c r="M85" s="32">
        <f>'[9]2015 - 2019'!U85+'[10]2015-2019'!U85</f>
        <v>532319</v>
      </c>
      <c r="N85" s="32">
        <f>'[11]2015 - 2019'!V85+'[12]2015-2019'!V85</f>
        <v>535374.04799999995</v>
      </c>
      <c r="O85" s="32">
        <f>'[13]2015 - 2019'!W85+'[14]2016-2021'!W85</f>
        <v>536430.92180999997</v>
      </c>
      <c r="P85" s="32">
        <f>'[15]2016 - 2021'!X85+'[16]2016-2021'!X85</f>
        <v>531591.05579999997</v>
      </c>
      <c r="Q85" s="32">
        <f>'[17]2016 - 2021'!Y85+'[18]2016-2021'!Y85</f>
        <v>529216.82169000001</v>
      </c>
      <c r="R85" s="32">
        <f>'[19]2016 - 2021'!Z85+'[20]2016-2021'!Z85</f>
        <v>513114.94125999999</v>
      </c>
      <c r="S85" s="32">
        <f>'[21]2018 - 2022'!S85+'[22]2018-2022'!S85</f>
        <v>452414.55304999999</v>
      </c>
      <c r="T85" s="32">
        <f>'[23]2018 - 2022'!T85+'[24]2018-2022'!T85</f>
        <v>467780.77877999999</v>
      </c>
    </row>
    <row r="86" spans="1:20" ht="15" customHeight="1" x14ac:dyDescent="0.15">
      <c r="B86" s="26"/>
      <c r="C86" s="8"/>
      <c r="D86" s="8"/>
      <c r="E86" s="8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5" customHeight="1" x14ac:dyDescent="0.15">
      <c r="A87" s="4">
        <v>5</v>
      </c>
      <c r="B87" s="20" t="s">
        <v>40</v>
      </c>
      <c r="C87" s="19">
        <f>15665+240874</f>
        <v>256539</v>
      </c>
      <c r="D87" s="19">
        <f>234376+15387</f>
        <v>249763</v>
      </c>
      <c r="E87" s="19">
        <f>242258+16748</f>
        <v>259006</v>
      </c>
      <c r="F87" s="19">
        <f>('[1]2015 - 2018'!R87)+('[2]2015-2018'!R87)</f>
        <v>259517</v>
      </c>
      <c r="G87" s="19">
        <f>16944+238912</f>
        <v>255856</v>
      </c>
      <c r="H87" s="19">
        <f>238843+16471</f>
        <v>255314</v>
      </c>
      <c r="I87" s="19">
        <f>239612+15619</f>
        <v>255231</v>
      </c>
      <c r="J87" s="19">
        <f>'[3]2015 - 2019'!R87+'[4]2015-2019'!R87</f>
        <v>252944</v>
      </c>
      <c r="K87" s="19">
        <f>'[5]2015 - 2019'!S87+'[6]2015-2019'!S87</f>
        <v>279959</v>
      </c>
      <c r="L87" s="19">
        <f>'[7]2015 - 2019'!T87+'[8]2015-2019'!T87</f>
        <v>289130</v>
      </c>
      <c r="M87" s="19">
        <f>'[9]2015 - 2019'!U87+'[10]2015-2019'!U87</f>
        <v>223074</v>
      </c>
      <c r="N87" s="19">
        <f>'[11]2015 - 2019'!V87+'[12]2015-2019'!V87</f>
        <v>221394.174</v>
      </c>
      <c r="O87" s="19">
        <f>'[13]2015 - 2019'!W87+'[14]2016-2021'!W87</f>
        <v>217291.33475000001</v>
      </c>
      <c r="P87" s="19">
        <f>'[15]2016 - 2021'!X87+'[16]2016-2021'!X87</f>
        <v>214360.80973000001</v>
      </c>
      <c r="Q87" s="19">
        <f>'[17]2016 - 2021'!Y87+'[18]2016-2021'!Y87</f>
        <v>203049.83984</v>
      </c>
      <c r="R87" s="19">
        <f>'[19]2016 - 2021'!Z87+'[20]2016-2021'!Z87</f>
        <v>198707.21402999997</v>
      </c>
      <c r="S87" s="19">
        <f>'[21]2018 - 2022'!S87+'[22]2018-2022'!S87</f>
        <v>195654.62972000003</v>
      </c>
      <c r="T87" s="19">
        <f>'[23]2018 - 2022'!T87+'[24]2018-2022'!T87</f>
        <v>194921.44654</v>
      </c>
    </row>
    <row r="88" spans="1:20" ht="15" customHeight="1" x14ac:dyDescent="0.15">
      <c r="A88" s="4">
        <v>6</v>
      </c>
      <c r="B88" s="20" t="s">
        <v>94</v>
      </c>
      <c r="C88" s="19">
        <f>154215+150970</f>
        <v>305185</v>
      </c>
      <c r="D88" s="19">
        <f>154008+140975</f>
        <v>294983</v>
      </c>
      <c r="E88" s="19">
        <f>133527+161744</f>
        <v>295271</v>
      </c>
      <c r="F88" s="19">
        <f>('[1]2015 - 2018'!R88)+('[2]2015-2018'!R88)</f>
        <v>287223</v>
      </c>
      <c r="G88" s="19">
        <f>80778+156813</f>
        <v>237591</v>
      </c>
      <c r="H88" s="19">
        <f>152826+86446</f>
        <v>239272</v>
      </c>
      <c r="I88" s="19">
        <f>166303+89067</f>
        <v>255370</v>
      </c>
      <c r="J88" s="19">
        <f>'[3]2015 - 2019'!R88+'[4]2015-2019'!R88</f>
        <v>323456</v>
      </c>
      <c r="K88" s="19">
        <f>'[5]2015 - 2019'!S88+'[6]2015-2019'!S88</f>
        <v>368657</v>
      </c>
      <c r="L88" s="19">
        <f>'[7]2015 - 2019'!T88+'[8]2015-2019'!T88</f>
        <v>317169</v>
      </c>
      <c r="M88" s="19">
        <f>'[9]2015 - 2019'!U88+'[10]2015-2019'!U88</f>
        <v>265286</v>
      </c>
      <c r="N88" s="19">
        <f>'[11]2015 - 2019'!V88+'[12]2015-2019'!V88</f>
        <v>319014.53099999996</v>
      </c>
      <c r="O88" s="19">
        <f>'[13]2015 - 2019'!W88+'[14]2016-2021'!W88</f>
        <v>365053.13948999997</v>
      </c>
      <c r="P88" s="19">
        <f>'[15]2016 - 2021'!X88+'[16]2016-2021'!X88</f>
        <v>316071.48546999996</v>
      </c>
      <c r="Q88" s="19">
        <f>'[17]2016 - 2021'!Y88+'[18]2016-2021'!Y88</f>
        <v>347327.76636999997</v>
      </c>
      <c r="R88" s="19">
        <f>'[19]2016 - 2021'!Z88+'[20]2016-2021'!Z88</f>
        <v>347931.66627000005</v>
      </c>
      <c r="S88" s="19">
        <f>'[21]2018 - 2022'!S88+'[22]2018-2022'!S88</f>
        <v>375243.97956999997</v>
      </c>
      <c r="T88" s="19">
        <f>'[23]2018 - 2022'!T88+'[24]2018-2022'!T88</f>
        <v>329752.54385000002</v>
      </c>
    </row>
    <row r="89" spans="1:20" ht="15" customHeight="1" x14ac:dyDescent="0.15">
      <c r="A89" s="4">
        <v>7</v>
      </c>
      <c r="B89" s="20" t="s">
        <v>0</v>
      </c>
      <c r="C89" s="19">
        <f t="shared" ref="C89:G89" si="96">C7+C8+C21+C38+C55+C87+C88</f>
        <v>23967565</v>
      </c>
      <c r="D89" s="19">
        <f t="shared" si="96"/>
        <v>22969049</v>
      </c>
      <c r="E89" s="19">
        <f t="shared" si="96"/>
        <v>21856463</v>
      </c>
      <c r="F89" s="19">
        <f t="shared" si="96"/>
        <v>21632426</v>
      </c>
      <c r="G89" s="19">
        <f t="shared" si="96"/>
        <v>18960862</v>
      </c>
      <c r="H89" s="19">
        <f t="shared" ref="H89:I89" si="97">H7+H8+H21+H38+H55+H87+H88</f>
        <v>19084061</v>
      </c>
      <c r="I89" s="19">
        <f t="shared" si="97"/>
        <v>18809280</v>
      </c>
      <c r="J89" s="19">
        <f t="shared" ref="J89" si="98">J7+J8+J21+J38+J55+J87+J88</f>
        <v>20180987</v>
      </c>
      <c r="K89" s="19">
        <f t="shared" ref="K89:P89" si="99">K7+K8+K21+K38+K55+K87+K88</f>
        <v>20143998</v>
      </c>
      <c r="L89" s="19">
        <f t="shared" si="99"/>
        <v>18622463</v>
      </c>
      <c r="M89" s="19">
        <f t="shared" si="99"/>
        <v>19864254</v>
      </c>
      <c r="N89" s="19">
        <f t="shared" si="99"/>
        <v>20192107.946000002</v>
      </c>
      <c r="O89" s="19">
        <f t="shared" si="99"/>
        <v>20134399.09293</v>
      </c>
      <c r="P89" s="19">
        <f t="shared" si="99"/>
        <v>21728007.631770004</v>
      </c>
      <c r="Q89" s="19">
        <f t="shared" ref="Q89:R89" si="100">Q7+Q8+Q21+Q38+Q55+Q87+Q88</f>
        <v>22108394.539280001</v>
      </c>
      <c r="R89" s="19">
        <f t="shared" si="100"/>
        <v>21753416.319360003</v>
      </c>
      <c r="S89" s="19">
        <f t="shared" ref="S89:T89" si="101">S7+S8+S21+S38+S55+S87+S88</f>
        <v>22696113.53297</v>
      </c>
      <c r="T89" s="19">
        <f t="shared" si="101"/>
        <v>21591189.178590003</v>
      </c>
    </row>
    <row r="90" spans="1:20" s="41" customFormat="1" ht="15.95" customHeight="1" thickBot="1" x14ac:dyDescent="0.2">
      <c r="A90" s="4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5.95" customHeight="1" thickBot="1" x14ac:dyDescent="0.25">
      <c r="B91" s="151" t="s">
        <v>101</v>
      </c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32"/>
    </row>
    <row r="92" spans="1:20" ht="12" thickBot="1" x14ac:dyDescent="0.2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8.95" customHeight="1" thickBot="1" x14ac:dyDescent="0.25">
      <c r="B93" s="42" t="s">
        <v>23</v>
      </c>
      <c r="C93" s="148" t="s">
        <v>95</v>
      </c>
      <c r="D93" s="148" t="s">
        <v>96</v>
      </c>
      <c r="E93" s="148" t="s">
        <v>97</v>
      </c>
      <c r="F93" s="148" t="s">
        <v>98</v>
      </c>
      <c r="G93" s="148" t="s">
        <v>99</v>
      </c>
      <c r="H93" s="148" t="s">
        <v>103</v>
      </c>
      <c r="I93" s="148" t="s">
        <v>104</v>
      </c>
      <c r="J93" s="148" t="s">
        <v>105</v>
      </c>
      <c r="K93" s="148" t="s">
        <v>106</v>
      </c>
      <c r="L93" s="148" t="s">
        <v>107</v>
      </c>
      <c r="M93" s="148" t="s">
        <v>108</v>
      </c>
      <c r="N93" s="148" t="s">
        <v>109</v>
      </c>
      <c r="O93" s="148" t="s">
        <v>110</v>
      </c>
      <c r="P93" s="148" t="s">
        <v>111</v>
      </c>
      <c r="Q93" s="148" t="s">
        <v>112</v>
      </c>
      <c r="R93" s="148" t="s">
        <v>113</v>
      </c>
      <c r="S93" s="148" t="s">
        <v>114</v>
      </c>
      <c r="T93" s="132" t="s">
        <v>115</v>
      </c>
    </row>
    <row r="94" spans="1:20" ht="15.95" customHeight="1" x14ac:dyDescent="0.15">
      <c r="B94" s="43" t="s">
        <v>1</v>
      </c>
      <c r="C94" s="19">
        <f>3130785+8514721</f>
        <v>11645506</v>
      </c>
      <c r="D94" s="19">
        <f>7884430+3038212</f>
        <v>10922642</v>
      </c>
      <c r="E94" s="19">
        <f>7831139+2308764</f>
        <v>10139903</v>
      </c>
      <c r="F94" s="19">
        <f>('[1]2015 - 2018'!R94)+('[2]2015-2018'!R94)</f>
        <v>11365391</v>
      </c>
      <c r="G94" s="19">
        <f>2574604+8674120</f>
        <v>11248724</v>
      </c>
      <c r="H94" s="19">
        <f>8733175+2742705</f>
        <v>11475880</v>
      </c>
      <c r="I94" s="19">
        <f>8470164+2768270</f>
        <v>11238434</v>
      </c>
      <c r="J94" s="19">
        <f>'[3]2015 - 2019'!R94+'[4]2015-2019'!R94</f>
        <v>11925561</v>
      </c>
      <c r="K94" s="19">
        <f>'[5]2015 - 2019'!S94+'[6]2015-2019'!S94</f>
        <v>12220917</v>
      </c>
      <c r="L94" s="19">
        <f>'[7]2015 - 2019'!T94+'[8]2015-2019'!T94</f>
        <v>12189653</v>
      </c>
      <c r="M94" s="19">
        <f>'[9]2015 - 2019'!U94+'[10]2015-2019'!U94</f>
        <v>12106014</v>
      </c>
      <c r="N94" s="19">
        <f>'[11]2015 - 2019'!V94+'[12]2015-2019'!V94</f>
        <v>13416466.358000001</v>
      </c>
      <c r="O94" s="19">
        <f>'[13]2015 - 2019'!W94+'[14]2016-2021'!W94</f>
        <v>13078716.69303</v>
      </c>
      <c r="P94" s="19">
        <f>'[15]2016 - 2021'!X94+'[16]2016-2021'!X94</f>
        <v>14810421.876649998</v>
      </c>
      <c r="Q94" s="19">
        <f>'[17]2016 - 2021'!Y94+'[18]2016-2021'!Y94</f>
        <v>14496564.399069998</v>
      </c>
      <c r="R94" s="19">
        <f>'[19]2016 - 2021'!Z94+'[20]2016-2021'!Z94</f>
        <v>14734357.52124</v>
      </c>
      <c r="S94" s="19">
        <f>'[21]2018 - 2022'!S94+'[22]2018-2022'!S94</f>
        <v>14930045.220260002</v>
      </c>
      <c r="T94" s="19">
        <f>'[23]2018 - 2022'!T94+'[24]2018-2022'!T94</f>
        <v>14631231.042119998</v>
      </c>
    </row>
    <row r="95" spans="1:20" ht="15.95" customHeight="1" x14ac:dyDescent="0.15">
      <c r="B95" s="44" t="s">
        <v>2</v>
      </c>
      <c r="C95" s="19">
        <f>2822756+4711947</f>
        <v>7534703</v>
      </c>
      <c r="D95" s="19">
        <f>4531789+2504662</f>
        <v>7036451</v>
      </c>
      <c r="E95" s="19">
        <f>4119952+2285074</f>
        <v>6405026</v>
      </c>
      <c r="F95" s="19">
        <f>('[1]2015 - 2018'!R95)+('[2]2015-2018'!R95)</f>
        <v>6032548</v>
      </c>
      <c r="G95" s="19">
        <f>884956+3901985</f>
        <v>4786941</v>
      </c>
      <c r="H95" s="19">
        <f>3996901+491297</f>
        <v>4488198</v>
      </c>
      <c r="I95" s="19">
        <f>4033560+471489</f>
        <v>4505049</v>
      </c>
      <c r="J95" s="19">
        <f>'[3]2015 - 2019'!R95+'[4]2015-2019'!R95</f>
        <v>5302180</v>
      </c>
      <c r="K95" s="19">
        <f>'[5]2015 - 2019'!S95+'[6]2015-2019'!S95</f>
        <v>3968385</v>
      </c>
      <c r="L95" s="19">
        <f>'[7]2015 - 2019'!T95+'[8]2015-2019'!T95</f>
        <v>3537577</v>
      </c>
      <c r="M95" s="19">
        <f>'[9]2015 - 2019'!U95+'[10]2015-2019'!U95</f>
        <v>4960171</v>
      </c>
      <c r="N95" s="19">
        <f>'[11]2015 - 2019'!V95+'[12]2015-2019'!V95</f>
        <v>3905081.8569999998</v>
      </c>
      <c r="O95" s="19">
        <f>'[13]2015 - 2019'!W95+'[14]2016-2021'!W95</f>
        <v>3948865.2792499997</v>
      </c>
      <c r="P95" s="19">
        <f>'[15]2016 - 2021'!X95+'[16]2016-2021'!X95</f>
        <v>3863193.3547999999</v>
      </c>
      <c r="Q95" s="19">
        <f>'[17]2016 - 2021'!Y95+'[18]2016-2021'!Y95</f>
        <v>4265668.7609999999</v>
      </c>
      <c r="R95" s="19">
        <f>'[19]2016 - 2021'!Z95+'[20]2016-2021'!Z95</f>
        <v>3976023.2789499997</v>
      </c>
      <c r="S95" s="19">
        <f>'[21]2018 - 2022'!S95+'[22]2018-2022'!S95</f>
        <v>4659350.0593199991</v>
      </c>
      <c r="T95" s="19">
        <f>'[23]2018 - 2022'!T95+'[24]2018-2022'!T95</f>
        <v>3861458.2988799997</v>
      </c>
    </row>
    <row r="96" spans="1:20" ht="15.95" customHeight="1" x14ac:dyDescent="0.15">
      <c r="B96" s="43" t="s">
        <v>11</v>
      </c>
      <c r="C96" s="19">
        <f>5953541+13226668</f>
        <v>19180209</v>
      </c>
      <c r="D96" s="19">
        <f>12416219+5542874</f>
        <v>17959093</v>
      </c>
      <c r="E96" s="19">
        <f>11951091+4593838</f>
        <v>16544929</v>
      </c>
      <c r="F96" s="19">
        <f>('[1]2015 - 2018'!R96)+('[2]2015-2018'!R96)</f>
        <v>17397939</v>
      </c>
      <c r="G96" s="19">
        <f>3459560+12576105</f>
        <v>16035665</v>
      </c>
      <c r="H96" s="19">
        <f>12730076+3234002</f>
        <v>15964078</v>
      </c>
      <c r="I96" s="19">
        <f>12503724+3239759</f>
        <v>15743483</v>
      </c>
      <c r="J96" s="19">
        <f>'[3]2015 - 2019'!R96+'[4]2015-2019'!R96</f>
        <v>17227741</v>
      </c>
      <c r="K96" s="19">
        <f>'[5]2015 - 2019'!S96+'[6]2015-2019'!S96</f>
        <v>16189302</v>
      </c>
      <c r="L96" s="19">
        <f>'[7]2015 - 2019'!T96+'[8]2015-2019'!T96</f>
        <v>15727230</v>
      </c>
      <c r="M96" s="19">
        <f>'[9]2015 - 2019'!U96+'[10]2015-2019'!U96</f>
        <v>17066185</v>
      </c>
      <c r="N96" s="19">
        <f>'[11]2015 - 2019'!V96+'[12]2015-2019'!V96</f>
        <v>17321548.215</v>
      </c>
      <c r="O96" s="19">
        <f>'[13]2015 - 2019'!W96+'[14]2016-2021'!W96</f>
        <v>17027581.972279999</v>
      </c>
      <c r="P96" s="19">
        <f>'[15]2016 - 2021'!X96+'[16]2016-2021'!X96</f>
        <v>18673615.231449999</v>
      </c>
      <c r="Q96" s="19">
        <f>'[17]2016 - 2021'!Y96+'[18]2016-2021'!Y96</f>
        <v>18762233.160069998</v>
      </c>
      <c r="R96" s="19">
        <f>'[19]2016 - 2021'!Z96+'[20]2016-2021'!Z96</f>
        <v>18710380.800190002</v>
      </c>
      <c r="S96" s="19">
        <f>'[21]2018 - 2022'!S96+'[22]2018-2022'!S96</f>
        <v>19589395.279580001</v>
      </c>
      <c r="T96" s="19">
        <f>'[23]2018 - 2022'!T96+'[24]2018-2022'!T96</f>
        <v>18492689.340999998</v>
      </c>
    </row>
    <row r="97" spans="1:39" ht="15" customHeight="1" x14ac:dyDescent="0.15">
      <c r="B97" s="21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39" ht="15" customHeight="1" x14ac:dyDescent="0.15">
      <c r="A98" s="4">
        <v>8</v>
      </c>
      <c r="B98" s="43" t="s">
        <v>8</v>
      </c>
      <c r="C98" s="19">
        <f t="shared" ref="C98:G98" si="102">SUM(C99:C106)</f>
        <v>3570785</v>
      </c>
      <c r="D98" s="19">
        <f t="shared" si="102"/>
        <v>3281907</v>
      </c>
      <c r="E98" s="19">
        <f t="shared" si="102"/>
        <v>2767986</v>
      </c>
      <c r="F98" s="19">
        <f t="shared" si="102"/>
        <v>3159159</v>
      </c>
      <c r="G98" s="19">
        <f t="shared" si="102"/>
        <v>2860652</v>
      </c>
      <c r="H98" s="19">
        <f t="shared" ref="H98:I98" si="103">SUM(H99:H106)</f>
        <v>3040634</v>
      </c>
      <c r="I98" s="19">
        <f t="shared" si="103"/>
        <v>3031106</v>
      </c>
      <c r="J98" s="19">
        <f t="shared" ref="J98" si="104">SUM(J99:J106)</f>
        <v>3392398</v>
      </c>
      <c r="K98" s="19">
        <f t="shared" ref="K98:P98" si="105">SUM(K99:K106)</f>
        <v>3509115</v>
      </c>
      <c r="L98" s="19">
        <f t="shared" si="105"/>
        <v>3654835</v>
      </c>
      <c r="M98" s="19">
        <f t="shared" si="105"/>
        <v>3810256</v>
      </c>
      <c r="N98" s="19">
        <f t="shared" si="105"/>
        <v>3896419.6820000005</v>
      </c>
      <c r="O98" s="19">
        <f t="shared" si="105"/>
        <v>4021718.4281500001</v>
      </c>
      <c r="P98" s="19">
        <f t="shared" si="105"/>
        <v>4503422.3656200003</v>
      </c>
      <c r="Q98" s="19">
        <f t="shared" ref="Q98:R98" si="106">SUM(Q99:Q106)</f>
        <v>4298981.4612499997</v>
      </c>
      <c r="R98" s="19">
        <f t="shared" si="106"/>
        <v>4440229.4516399996</v>
      </c>
      <c r="S98" s="19">
        <f t="shared" ref="S98:T98" si="107">SUM(S99:S106)</f>
        <v>4422946.5466900002</v>
      </c>
      <c r="T98" s="19">
        <f t="shared" si="107"/>
        <v>4676765.5083499998</v>
      </c>
    </row>
    <row r="99" spans="1:39" ht="15" customHeight="1" x14ac:dyDescent="0.15">
      <c r="B99" s="2" t="s">
        <v>3</v>
      </c>
      <c r="C99" s="32">
        <v>50166</v>
      </c>
      <c r="D99" s="32">
        <v>50556</v>
      </c>
      <c r="E99" s="32">
        <f>44405+0</f>
        <v>44405</v>
      </c>
      <c r="F99" s="32">
        <f>('[1]2015 - 2018'!R99)+('[2]2015-2018'!R99)</f>
        <v>101811</v>
      </c>
      <c r="G99" s="32">
        <v>47993</v>
      </c>
      <c r="H99" s="32">
        <v>55106</v>
      </c>
      <c r="I99" s="32">
        <v>49894</v>
      </c>
      <c r="J99" s="32">
        <f>'[3]2015 - 2019'!R99+'[4]2015-2019'!R99</f>
        <v>90306</v>
      </c>
      <c r="K99" s="32">
        <f>'[5]2015 - 2019'!S99+'[6]2015-2019'!S99</f>
        <v>31697</v>
      </c>
      <c r="L99" s="32">
        <f>'[7]2015 - 2019'!T99+'[8]2015-2019'!T99</f>
        <v>38015</v>
      </c>
      <c r="M99" s="32">
        <f>'[9]2015 - 2019'!U99+'[10]2015-2019'!U99</f>
        <v>58433</v>
      </c>
      <c r="N99" s="32">
        <f>'[11]2015 - 2019'!V99+'[12]2015-2019'!V99</f>
        <v>64627.432999999997</v>
      </c>
      <c r="O99" s="32">
        <f>'[13]2015 - 2019'!W99+'[14]2016-2021'!W99</f>
        <v>41048.390339999998</v>
      </c>
      <c r="P99" s="32">
        <f>'[15]2016 - 2021'!X99+'[16]2016-2021'!X99</f>
        <v>31314.808059999999</v>
      </c>
      <c r="Q99" s="32">
        <f>'[17]2016 - 2021'!Y99+'[18]2016-2021'!Y99</f>
        <v>45966.815329999998</v>
      </c>
      <c r="R99" s="32">
        <f>'[19]2016 - 2021'!Z99+'[20]2016-2021'!Z99</f>
        <v>70617.477369999993</v>
      </c>
      <c r="S99" s="32">
        <f>'[21]2018 - 2022'!S99+'[22]2018-2022'!S99</f>
        <v>40681.28847</v>
      </c>
      <c r="T99" s="32">
        <f>'[23]2018 - 2022'!T99+'[24]2018-2022'!T99</f>
        <v>17247.131669999999</v>
      </c>
    </row>
    <row r="100" spans="1:39" ht="15" customHeight="1" x14ac:dyDescent="0.15">
      <c r="B100" s="2" t="s">
        <v>21</v>
      </c>
      <c r="C100" s="32">
        <v>112260</v>
      </c>
      <c r="D100" s="32">
        <v>134530</v>
      </c>
      <c r="E100" s="32">
        <f>115888</f>
        <v>115888</v>
      </c>
      <c r="F100" s="32">
        <f>('[1]2015 - 2018'!R100)+('[2]2015-2018'!R100)</f>
        <v>94724</v>
      </c>
      <c r="G100" s="32">
        <v>101147</v>
      </c>
      <c r="H100" s="32">
        <v>116405</v>
      </c>
      <c r="I100" s="32">
        <v>115191</v>
      </c>
      <c r="J100" s="32">
        <f>'[3]2015 - 2019'!R100+'[4]2015-2019'!R100</f>
        <v>106081</v>
      </c>
      <c r="K100" s="32">
        <f>'[5]2015 - 2019'!S100+'[6]2015-2019'!S100</f>
        <v>140098</v>
      </c>
      <c r="L100" s="32">
        <f>'[7]2015 - 2019'!T100+'[8]2015-2019'!T100</f>
        <v>137776</v>
      </c>
      <c r="M100" s="32">
        <f>'[9]2015 - 2019'!U100+'[10]2015-2019'!U100</f>
        <v>131008</v>
      </c>
      <c r="N100" s="32">
        <f>'[11]2015 - 2019'!V100+'[12]2015-2019'!V100</f>
        <v>129190.621</v>
      </c>
      <c r="O100" s="32">
        <f>'[13]2015 - 2019'!W100+'[14]2016-2021'!W100</f>
        <v>122928.67402000001</v>
      </c>
      <c r="P100" s="32">
        <f>'[15]2016 - 2021'!X100+'[16]2016-2021'!X100</f>
        <v>155455.81946999999</v>
      </c>
      <c r="Q100" s="32">
        <f>'[17]2016 - 2021'!Y100+'[18]2016-2021'!Y100</f>
        <v>134331.8432</v>
      </c>
      <c r="R100" s="32">
        <f>'[19]2016 - 2021'!Z100+'[20]2016-2021'!Z100</f>
        <v>131891.24554999999</v>
      </c>
      <c r="S100" s="32">
        <f>'[21]2018 - 2022'!S100+'[22]2018-2022'!S100</f>
        <v>154418.33184999999</v>
      </c>
      <c r="T100" s="32">
        <f>'[23]2018 - 2022'!T100+'[24]2018-2022'!T100</f>
        <v>170593.46765999999</v>
      </c>
    </row>
    <row r="101" spans="1:39" ht="15" customHeight="1" x14ac:dyDescent="0.15">
      <c r="B101" s="2" t="s">
        <v>19</v>
      </c>
      <c r="C101" s="32">
        <v>1217413</v>
      </c>
      <c r="D101" s="32">
        <v>864772</v>
      </c>
      <c r="E101" s="32">
        <f>875899</f>
        <v>875899</v>
      </c>
      <c r="F101" s="32">
        <f>('[1]2015 - 2018'!R101)+('[2]2015-2018'!R101)</f>
        <v>1114564</v>
      </c>
      <c r="G101" s="32">
        <v>1064795</v>
      </c>
      <c r="H101" s="32">
        <v>1123951</v>
      </c>
      <c r="I101" s="32">
        <v>931188</v>
      </c>
      <c r="J101" s="32">
        <f>'[3]2015 - 2019'!R101+'[4]2015-2019'!R101</f>
        <v>1318425</v>
      </c>
      <c r="K101" s="32">
        <f>'[5]2015 - 2019'!S101+'[6]2015-2019'!S101</f>
        <v>1194560</v>
      </c>
      <c r="L101" s="32">
        <f>'[7]2015 - 2019'!T101+'[8]2015-2019'!T101</f>
        <v>1222152</v>
      </c>
      <c r="M101" s="32">
        <f>'[9]2015 - 2019'!U101+'[10]2015-2019'!U101</f>
        <v>1357965</v>
      </c>
      <c r="N101" s="32">
        <f>'[11]2015 - 2019'!V101+'[12]2015-2019'!V101</f>
        <v>1430405.2560000001</v>
      </c>
      <c r="O101" s="32">
        <f>'[13]2015 - 2019'!W101+'[14]2016-2021'!W101</f>
        <v>1548348.02202</v>
      </c>
      <c r="P101" s="32">
        <f>'[15]2016 - 2021'!X101+'[16]2016-2021'!X101</f>
        <v>1625196.8439100001</v>
      </c>
      <c r="Q101" s="32">
        <f>'[17]2016 - 2021'!Y101+'[18]2016-2021'!Y101</f>
        <v>1706838.4327100001</v>
      </c>
      <c r="R101" s="32">
        <f>'[19]2016 - 2021'!Z101+'[20]2016-2021'!Z101</f>
        <v>1684814.01675</v>
      </c>
      <c r="S101" s="32">
        <f>'[21]2018 - 2022'!S101+'[22]2018-2022'!S101</f>
        <v>1762092.40068</v>
      </c>
      <c r="T101" s="32">
        <f>'[23]2018 - 2022'!T101+'[24]2018-2022'!T101</f>
        <v>1758848.80581</v>
      </c>
    </row>
    <row r="102" spans="1:39" ht="15" customHeight="1" x14ac:dyDescent="0.15">
      <c r="B102" s="2" t="s">
        <v>12</v>
      </c>
      <c r="C102" s="32">
        <v>6</v>
      </c>
      <c r="D102" s="32">
        <v>6</v>
      </c>
      <c r="E102" s="32">
        <v>6</v>
      </c>
      <c r="F102" s="32">
        <f>('[1]2015 - 2018'!R102)+('[2]2015-2018'!R102)</f>
        <v>6</v>
      </c>
      <c r="G102" s="32">
        <v>6</v>
      </c>
      <c r="H102" s="32">
        <v>6</v>
      </c>
      <c r="I102" s="32">
        <v>6</v>
      </c>
      <c r="J102" s="32">
        <f>'[3]2015 - 2019'!R102+'[4]2015-2019'!R102</f>
        <v>6</v>
      </c>
      <c r="K102" s="32">
        <f>'[5]2015 - 2019'!S102+'[6]2015-2019'!S102</f>
        <v>6</v>
      </c>
      <c r="L102" s="32">
        <f>'[7]2015 - 2019'!T102+'[8]2015-2019'!T102</f>
        <v>6</v>
      </c>
      <c r="M102" s="32">
        <f>'[9]2015 - 2019'!U102+'[10]2015-2019'!U102</f>
        <v>6</v>
      </c>
      <c r="N102" s="32">
        <f>'[11]2015 - 2019'!V102+'[12]2015-2019'!V102</f>
        <v>6</v>
      </c>
      <c r="O102" s="32">
        <f>'[13]2015 - 2019'!W102+'[14]2016-2021'!W102</f>
        <v>6</v>
      </c>
      <c r="P102" s="32">
        <f>'[15]2016 - 2021'!X102+'[16]2016-2021'!X102</f>
        <v>2940</v>
      </c>
      <c r="Q102" s="32">
        <f>'[17]2016 - 2021'!Y102+'[18]2016-2021'!Y102</f>
        <v>5.8869999999999996</v>
      </c>
      <c r="R102" s="32">
        <f>'[19]2016 - 2021'!Z102+'[20]2016-2021'!Z102</f>
        <v>5.8979999999999997</v>
      </c>
      <c r="S102" s="32">
        <f>'[21]2018 - 2022'!S102+'[22]2018-2022'!S102</f>
        <v>6</v>
      </c>
      <c r="T102" s="32">
        <f>'[23]2018 - 2022'!T102+'[24]2018-2022'!T102</f>
        <v>6</v>
      </c>
    </row>
    <row r="103" spans="1:39" ht="15" customHeight="1" x14ac:dyDescent="0.15">
      <c r="B103" s="2" t="s">
        <v>25</v>
      </c>
      <c r="C103" s="32">
        <v>69634</v>
      </c>
      <c r="D103" s="32">
        <v>27032</v>
      </c>
      <c r="E103" s="32">
        <f>27335</f>
        <v>27335</v>
      </c>
      <c r="F103" s="32">
        <f>('[1]2015 - 2018'!R103)+('[2]2015-2018'!R103)</f>
        <v>6937</v>
      </c>
      <c r="G103" s="32">
        <v>6346</v>
      </c>
      <c r="H103" s="32">
        <v>7856</v>
      </c>
      <c r="I103" s="32">
        <v>9679</v>
      </c>
      <c r="J103" s="32">
        <f>'[3]2015 - 2019'!R103+'[4]2015-2019'!R103</f>
        <v>30889</v>
      </c>
      <c r="K103" s="32">
        <f>'[5]2015 - 2019'!S103+'[6]2015-2019'!S103</f>
        <v>128650</v>
      </c>
      <c r="L103" s="32">
        <f>'[7]2015 - 2019'!T103+'[8]2015-2019'!T103</f>
        <v>51967</v>
      </c>
      <c r="M103" s="32">
        <f>'[9]2015 - 2019'!U103+'[10]2015-2019'!U103</f>
        <v>26527</v>
      </c>
      <c r="N103" s="32">
        <f>'[11]2015 - 2019'!V103+'[12]2015-2019'!V103</f>
        <v>28288.986000000001</v>
      </c>
      <c r="O103" s="32">
        <f>'[13]2015 - 2019'!W103+'[14]2016-2021'!W103</f>
        <v>53028.853109999996</v>
      </c>
      <c r="P103" s="32">
        <f>'[15]2016 - 2021'!X103+'[16]2016-2021'!X103</f>
        <v>51414.119449999998</v>
      </c>
      <c r="Q103" s="32">
        <f>'[17]2016 - 2021'!Y103+'[18]2016-2021'!Y103</f>
        <v>47658.737550000005</v>
      </c>
      <c r="R103" s="32">
        <f>'[19]2016 - 2021'!Z103+'[20]2016-2021'!Z103</f>
        <v>64068.510049999997</v>
      </c>
      <c r="S103" s="32">
        <f>'[21]2018 - 2022'!S103+'[22]2018-2022'!S103</f>
        <v>37069.346709999998</v>
      </c>
      <c r="T103" s="32">
        <f>'[23]2018 - 2022'!T103+'[24]2018-2022'!T103</f>
        <v>33388.014380000001</v>
      </c>
    </row>
    <row r="104" spans="1:39" ht="15" customHeight="1" x14ac:dyDescent="0.15">
      <c r="B104" s="2" t="s">
        <v>46</v>
      </c>
      <c r="C104" s="32">
        <f>111+7096</f>
        <v>7207</v>
      </c>
      <c r="D104" s="32">
        <f>6757+182</f>
        <v>6939</v>
      </c>
      <c r="E104" s="32">
        <f>7740+123</f>
        <v>7863</v>
      </c>
      <c r="F104" s="32">
        <f>('[1]2015 - 2018'!R104)+('[2]2015-2018'!R104)</f>
        <v>9666</v>
      </c>
      <c r="G104" s="32">
        <f>80503+367</f>
        <v>80870</v>
      </c>
      <c r="H104" s="32">
        <f>77994+365</f>
        <v>78359</v>
      </c>
      <c r="I104" s="32">
        <f>74670+447</f>
        <v>75117</v>
      </c>
      <c r="J104" s="32">
        <f>'[3]2015 - 2019'!R104+'[4]2015-2019'!R104</f>
        <v>83179</v>
      </c>
      <c r="K104" s="32">
        <f>'[5]2015 - 2019'!S104+'[6]2015-2019'!S104</f>
        <v>75620</v>
      </c>
      <c r="L104" s="32">
        <f>'[7]2015 - 2019'!T104+'[8]2015-2019'!T104</f>
        <v>49639</v>
      </c>
      <c r="M104" s="32">
        <f>'[9]2015 - 2019'!U104+'[10]2015-2019'!U104</f>
        <v>50129</v>
      </c>
      <c r="N104" s="32">
        <f>'[11]2015 - 2019'!V104+'[12]2015-2019'!V104</f>
        <v>50612.762999999999</v>
      </c>
      <c r="O104" s="32">
        <f>'[13]2015 - 2019'!W104+'[14]2016-2021'!W104</f>
        <v>52000.138279999999</v>
      </c>
      <c r="P104" s="32">
        <f>'[15]2016 - 2021'!X104+'[16]2016-2021'!X104</f>
        <v>58729.392140000004</v>
      </c>
      <c r="Q104" s="32">
        <f>'[17]2016 - 2021'!Y104+'[18]2016-2021'!Y104</f>
        <v>60249.540609999996</v>
      </c>
      <c r="R104" s="32">
        <f>'[19]2016 - 2021'!Z104+'[20]2016-2021'!Z104</f>
        <v>63934.729789999998</v>
      </c>
      <c r="S104" s="32">
        <f>'[21]2018 - 2022'!S104+'[22]2018-2022'!S104</f>
        <v>86790.251049999992</v>
      </c>
      <c r="T104" s="32">
        <f>'[23]2018 - 2022'!T104+'[24]2018-2022'!T104</f>
        <v>85586.405640000012</v>
      </c>
    </row>
    <row r="105" spans="1:39" ht="15" customHeight="1" x14ac:dyDescent="0.15">
      <c r="B105" s="12" t="s">
        <v>64</v>
      </c>
      <c r="C105" s="32">
        <f>775489+750165</f>
        <v>1525654</v>
      </c>
      <c r="D105" s="32">
        <f>922848+739915</f>
        <v>1662763</v>
      </c>
      <c r="E105" s="32">
        <f>912142+319681</f>
        <v>1231823</v>
      </c>
      <c r="F105" s="32">
        <f>('[1]2015 - 2018'!R105)+('[2]2015-2018'!R105)</f>
        <v>1364484</v>
      </c>
      <c r="G105" s="32">
        <f>870885+189016</f>
        <v>1059901</v>
      </c>
      <c r="H105" s="32">
        <f>1051369+162635</f>
        <v>1214004</v>
      </c>
      <c r="I105" s="32">
        <f>1147410+166944</f>
        <v>1314354</v>
      </c>
      <c r="J105" s="32">
        <f>'[3]2015 - 2019'!R105+'[4]2015-2019'!R105</f>
        <v>1324068</v>
      </c>
      <c r="K105" s="32">
        <f>'[5]2015 - 2019'!S105+'[6]2015-2019'!S105</f>
        <v>1462966</v>
      </c>
      <c r="L105" s="32">
        <f>'[7]2015 - 2019'!T105+'[8]2015-2019'!T105</f>
        <v>1673542</v>
      </c>
      <c r="M105" s="32">
        <f>'[9]2015 - 2019'!U105+'[10]2015-2019'!U105</f>
        <v>1678788</v>
      </c>
      <c r="N105" s="32">
        <f>'[11]2015 - 2019'!V105+'[12]2015-2019'!V105</f>
        <v>1665678.1880000001</v>
      </c>
      <c r="O105" s="32">
        <f>'[13]2015 - 2019'!W105+'[14]2016-2021'!W105</f>
        <v>1628259.2576300001</v>
      </c>
      <c r="P105" s="32">
        <f>'[15]2016 - 2021'!X105+'[16]2016-2021'!X105</f>
        <v>2016927.0714400001</v>
      </c>
      <c r="Q105" s="32">
        <f>'[17]2016 - 2021'!Y105+'[18]2016-2021'!Y105</f>
        <v>1710552.3724199999</v>
      </c>
      <c r="R105" s="32">
        <f>'[19]2016 - 2021'!Z105+'[20]2016-2021'!Z105</f>
        <v>1807302.40252</v>
      </c>
      <c r="S105" s="32">
        <f>'[21]2018 - 2022'!S105+'[22]2018-2022'!S105</f>
        <v>1703623.3041900001</v>
      </c>
      <c r="T105" s="32">
        <f>'[23]2018 - 2022'!T105+'[24]2018-2022'!T105</f>
        <v>1969205.0737399999</v>
      </c>
    </row>
    <row r="106" spans="1:39" ht="15" customHeight="1" x14ac:dyDescent="0.15">
      <c r="B106" s="2" t="s">
        <v>88</v>
      </c>
      <c r="C106" s="32">
        <f>6314+582131</f>
        <v>588445</v>
      </c>
      <c r="D106" s="32">
        <f>534232+1077</f>
        <v>535309</v>
      </c>
      <c r="E106" s="32">
        <f>464496+271</f>
        <v>464767</v>
      </c>
      <c r="F106" s="32">
        <f>('[1]2015 - 2018'!R106)+('[2]2015-2018'!R106)</f>
        <v>466967</v>
      </c>
      <c r="G106" s="32">
        <v>499594</v>
      </c>
      <c r="H106" s="32">
        <v>444947</v>
      </c>
      <c r="I106" s="32">
        <v>535677</v>
      </c>
      <c r="J106" s="32">
        <f>'[3]2015 - 2019'!R106+'[4]2015-2019'!R106</f>
        <v>439444</v>
      </c>
      <c r="K106" s="32">
        <f>'[5]2015 - 2019'!S106+'[6]2015-2019'!S106</f>
        <v>475518</v>
      </c>
      <c r="L106" s="32">
        <f>'[7]2015 - 2019'!T106+'[8]2015-2019'!T106</f>
        <v>481738</v>
      </c>
      <c r="M106" s="32">
        <f>'[9]2015 - 2019'!U106+'[10]2015-2019'!U106</f>
        <v>507400</v>
      </c>
      <c r="N106" s="32">
        <f>'[11]2015 - 2019'!V106+'[12]2015-2019'!V106</f>
        <v>527610.43500000006</v>
      </c>
      <c r="O106" s="32">
        <f>'[13]2015 - 2019'!W106+'[14]2016-2021'!W106</f>
        <v>576099.09274999995</v>
      </c>
      <c r="P106" s="32">
        <f>'[15]2016 - 2021'!X106+'[16]2016-2021'!X106</f>
        <v>561444.31114999996</v>
      </c>
      <c r="Q106" s="32">
        <f>'[17]2016 - 2021'!Y106+'[18]2016-2021'!Y106</f>
        <v>593377.83242999995</v>
      </c>
      <c r="R106" s="32">
        <f>'[19]2016 - 2021'!Z106+'[20]2016-2021'!Z106</f>
        <v>617595.17160999996</v>
      </c>
      <c r="S106" s="32">
        <f>'[21]2018 - 2022'!S106+'[22]2018-2022'!S106</f>
        <v>638265.62373999995</v>
      </c>
      <c r="T106" s="32">
        <f>'[23]2018 - 2022'!T106+'[24]2018-2022'!T106</f>
        <v>641890.60944999999</v>
      </c>
    </row>
    <row r="107" spans="1:39" ht="15" customHeight="1" x14ac:dyDescent="0.15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39" ht="15" customHeight="1" x14ac:dyDescent="0.15">
      <c r="A108" s="4">
        <v>9</v>
      </c>
      <c r="B108" s="43" t="s">
        <v>9</v>
      </c>
      <c r="C108" s="19">
        <f t="shared" ref="C108:G108" si="108">SUM(C109:C116)</f>
        <v>4867271</v>
      </c>
      <c r="D108" s="19">
        <f t="shared" si="108"/>
        <v>4784466</v>
      </c>
      <c r="E108" s="19">
        <f t="shared" si="108"/>
        <v>4569302</v>
      </c>
      <c r="F108" s="19">
        <f t="shared" si="108"/>
        <v>5319799</v>
      </c>
      <c r="G108" s="19">
        <f t="shared" si="108"/>
        <v>5327576</v>
      </c>
      <c r="H108" s="19">
        <f t="shared" ref="H108:I108" si="109">SUM(H109:H116)</f>
        <v>5508331</v>
      </c>
      <c r="I108" s="19">
        <f t="shared" si="109"/>
        <v>5409981</v>
      </c>
      <c r="J108" s="19">
        <f t="shared" ref="J108" si="110">SUM(J109:J116)</f>
        <v>5795925</v>
      </c>
      <c r="K108" s="19">
        <f t="shared" ref="K108:P108" si="111">SUM(K109:K116)</f>
        <v>6215615</v>
      </c>
      <c r="L108" s="19">
        <f t="shared" si="111"/>
        <v>6099066</v>
      </c>
      <c r="M108" s="19">
        <f t="shared" si="111"/>
        <v>6162136</v>
      </c>
      <c r="N108" s="19">
        <f t="shared" si="111"/>
        <v>7411954.8099999996</v>
      </c>
      <c r="O108" s="19">
        <f t="shared" si="111"/>
        <v>6823377.8896699995</v>
      </c>
      <c r="P108" s="19">
        <f t="shared" si="111"/>
        <v>8214296.7053700006</v>
      </c>
      <c r="Q108" s="19">
        <f t="shared" ref="Q108:R108" si="112">SUM(Q109:Q116)</f>
        <v>8214328.3959299996</v>
      </c>
      <c r="R108" s="19">
        <f t="shared" si="112"/>
        <v>8382355.0531700011</v>
      </c>
      <c r="S108" s="19">
        <f t="shared" ref="S108:T108" si="113">SUM(S109:S116)</f>
        <v>8506316.26633</v>
      </c>
      <c r="T108" s="19">
        <f t="shared" si="113"/>
        <v>7856277.1756199999</v>
      </c>
    </row>
    <row r="109" spans="1:39" ht="15" customHeight="1" x14ac:dyDescent="0.15">
      <c r="B109" s="2" t="s">
        <v>3</v>
      </c>
      <c r="C109" s="32">
        <v>1557</v>
      </c>
      <c r="D109" s="32">
        <v>1590</v>
      </c>
      <c r="E109" s="32">
        <f>14042</f>
        <v>14042</v>
      </c>
      <c r="F109" s="32">
        <f>('[1]2015 - 2018'!R109)+('[2]2015-2018'!R109)</f>
        <v>2355</v>
      </c>
      <c r="G109" s="32">
        <v>3302</v>
      </c>
      <c r="H109" s="32">
        <v>3029</v>
      </c>
      <c r="I109" s="32">
        <v>19377</v>
      </c>
      <c r="J109" s="32">
        <f>'[3]2015 - 2019'!R109+'[4]2015-2019'!R109</f>
        <v>2387</v>
      </c>
      <c r="K109" s="32">
        <f>'[5]2015 - 2019'!S109+'[6]2015-2019'!S109</f>
        <v>8095</v>
      </c>
      <c r="L109" s="32">
        <f>'[7]2015 - 2019'!T109+'[8]2015-2019'!T109</f>
        <v>42</v>
      </c>
      <c r="M109" s="32">
        <f>'[9]2015 - 2019'!U109+'[10]2015-2019'!U109</f>
        <v>20</v>
      </c>
      <c r="N109" s="32">
        <f>'[11]2015 - 2019'!V109+'[12]2015-2019'!V109</f>
        <v>35.764000000000003</v>
      </c>
      <c r="O109" s="32">
        <f>'[13]2015 - 2019'!W109+'[14]2016-2021'!W109</f>
        <v>49.455159999999999</v>
      </c>
      <c r="P109" s="32">
        <f>'[15]2016 - 2021'!X109+'[16]2016-2021'!X109</f>
        <v>734.16966000000002</v>
      </c>
      <c r="Q109" s="32">
        <f>'[17]2016 - 2021'!Y109+'[18]2016-2021'!Y109</f>
        <v>869.27436</v>
      </c>
      <c r="R109" s="32">
        <f>'[19]2016 - 2021'!Z109+'[20]2016-2021'!Z109</f>
        <v>320.62484999999998</v>
      </c>
      <c r="S109" s="32">
        <f>'[21]2018 - 2022'!S109+'[22]2018-2022'!S109</f>
        <v>888.17621999999994</v>
      </c>
      <c r="T109" s="32">
        <f>'[23]2018 - 2022'!T109+'[24]2018-2022'!T109</f>
        <v>1232.0648100000001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</row>
    <row r="110" spans="1:39" ht="15" customHeight="1" x14ac:dyDescent="0.15">
      <c r="B110" s="2" t="s">
        <v>21</v>
      </c>
      <c r="C110" s="32">
        <v>2977</v>
      </c>
      <c r="D110" s="32">
        <v>2978</v>
      </c>
      <c r="E110" s="32">
        <v>3091</v>
      </c>
      <c r="F110" s="32">
        <f>('[1]2015 - 2018'!R110)+('[2]2015-2018'!R110)</f>
        <v>3283</v>
      </c>
      <c r="G110" s="32">
        <v>3433</v>
      </c>
      <c r="H110" s="32">
        <v>3058</v>
      </c>
      <c r="I110" s="32">
        <v>3032</v>
      </c>
      <c r="J110" s="32">
        <f>'[3]2015 - 2019'!R110+'[4]2015-2019'!R110</f>
        <v>3395</v>
      </c>
      <c r="K110" s="32">
        <f>'[5]2015 - 2019'!S110+'[6]2015-2019'!S110</f>
        <v>7992</v>
      </c>
      <c r="L110" s="32">
        <f>'[7]2015 - 2019'!T110+'[8]2015-2019'!T110</f>
        <v>17012</v>
      </c>
      <c r="M110" s="32">
        <f>'[9]2015 - 2019'!U110+'[10]2015-2019'!U110</f>
        <v>16625</v>
      </c>
      <c r="N110" s="32">
        <f>'[11]2015 - 2019'!V110+'[12]2015-2019'!V110</f>
        <v>13489.563</v>
      </c>
      <c r="O110" s="32">
        <f>'[13]2015 - 2019'!W110+'[14]2016-2021'!W110</f>
        <v>13475.305899999999</v>
      </c>
      <c r="P110" s="32">
        <f>'[15]2016 - 2021'!X110+'[16]2016-2021'!X110</f>
        <v>19983.829089999999</v>
      </c>
      <c r="Q110" s="32">
        <f>'[17]2016 - 2021'!Y110+'[18]2016-2021'!Y110</f>
        <v>10234.45664</v>
      </c>
      <c r="R110" s="32">
        <f>'[19]2016 - 2021'!Z110+'[20]2016-2021'!Z110</f>
        <v>11184.839400000001</v>
      </c>
      <c r="S110" s="32">
        <f>'[21]2018 - 2022'!S110+'[22]2018-2022'!S110</f>
        <v>12561.01856</v>
      </c>
      <c r="T110" s="32">
        <f>'[23]2018 - 2022'!T110+'[24]2018-2022'!T110</f>
        <v>15883.30284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</row>
    <row r="111" spans="1:39" ht="15" customHeight="1" x14ac:dyDescent="0.15">
      <c r="B111" s="2" t="s">
        <v>18</v>
      </c>
      <c r="C111" s="32">
        <v>868745</v>
      </c>
      <c r="D111" s="32">
        <v>663843</v>
      </c>
      <c r="E111" s="32">
        <v>663058</v>
      </c>
      <c r="F111" s="32">
        <f>('[1]2015 - 2018'!R111)+('[2]2015-2018'!R111)</f>
        <v>723536</v>
      </c>
      <c r="G111" s="32">
        <v>874824</v>
      </c>
      <c r="H111" s="32">
        <v>841636</v>
      </c>
      <c r="I111" s="32">
        <v>833414</v>
      </c>
      <c r="J111" s="32">
        <f>'[3]2015 - 2019'!R111+'[4]2015-2019'!R111</f>
        <v>910668</v>
      </c>
      <c r="K111" s="32">
        <f>'[5]2015 - 2019'!S111+'[6]2015-2019'!S111</f>
        <v>883671</v>
      </c>
      <c r="L111" s="32">
        <f>'[7]2015 - 2019'!T111+'[8]2015-2019'!T111</f>
        <v>835621</v>
      </c>
      <c r="M111" s="32">
        <f>'[9]2015 - 2019'!U111+'[10]2015-2019'!U111</f>
        <v>821649</v>
      </c>
      <c r="N111" s="32">
        <f>'[11]2015 - 2019'!V111+'[12]2015-2019'!V111</f>
        <v>908949.03399999999</v>
      </c>
      <c r="O111" s="32">
        <f>'[13]2015 - 2019'!W111+'[14]2016-2021'!W111</f>
        <v>1015990.92696</v>
      </c>
      <c r="P111" s="32">
        <f>'[15]2016 - 2021'!X111+'[16]2016-2021'!X111</f>
        <v>1024192.69825</v>
      </c>
      <c r="Q111" s="32">
        <f>'[17]2016 - 2021'!Y111+'[18]2016-2021'!Y111</f>
        <v>963355.52275999996</v>
      </c>
      <c r="R111" s="32">
        <f>'[19]2016 - 2021'!Z111+'[20]2016-2021'!Z111</f>
        <v>987858.35953999998</v>
      </c>
      <c r="S111" s="32">
        <f>'[21]2018 - 2022'!S111+'[22]2018-2022'!S111</f>
        <v>948988.38034000003</v>
      </c>
      <c r="T111" s="32">
        <f>'[23]2018 - 2022'!T111+'[24]2018-2022'!T111</f>
        <v>1002985.64948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</row>
    <row r="112" spans="1:39" ht="15" customHeight="1" x14ac:dyDescent="0.15">
      <c r="B112" s="2" t="s">
        <v>12</v>
      </c>
      <c r="C112" s="32">
        <v>22830</v>
      </c>
      <c r="D112" s="32">
        <v>25820</v>
      </c>
      <c r="E112" s="32">
        <v>23051</v>
      </c>
      <c r="F112" s="32">
        <f>('[1]2015 - 2018'!R112)+('[2]2015-2018'!R112)</f>
        <v>17531</v>
      </c>
      <c r="G112" s="32">
        <v>20804</v>
      </c>
      <c r="H112" s="32">
        <v>16708</v>
      </c>
      <c r="I112" s="32">
        <v>16269</v>
      </c>
      <c r="J112" s="32">
        <f>'[3]2015 - 2019'!R112+'[4]2015-2019'!R112</f>
        <v>12830</v>
      </c>
      <c r="K112" s="32">
        <f>'[5]2015 - 2019'!S112+'[6]2015-2019'!S112</f>
        <v>14728</v>
      </c>
      <c r="L112" s="32">
        <f>'[7]2015 - 2019'!T112+'[8]2015-2019'!T112</f>
        <v>13930</v>
      </c>
      <c r="M112" s="32">
        <f>'[9]2015 - 2019'!U112+'[10]2015-2019'!U112</f>
        <v>13830</v>
      </c>
      <c r="N112" s="32">
        <f>'[11]2015 - 2019'!V112+'[12]2015-2019'!V112</f>
        <v>13105.73</v>
      </c>
      <c r="O112" s="32">
        <f>'[13]2015 - 2019'!W112+'[14]2016-2021'!W112</f>
        <v>18102.774000000001</v>
      </c>
      <c r="P112" s="32">
        <f>'[15]2016 - 2021'!X112+'[16]2016-2021'!X112</f>
        <v>13890.849</v>
      </c>
      <c r="Q112" s="32">
        <f>'[17]2016 - 2021'!Y112+'[18]2016-2021'!Y112</f>
        <v>11480.579</v>
      </c>
      <c r="R112" s="32">
        <f>'[19]2016 - 2021'!Z112+'[20]2016-2021'!Z112</f>
        <v>16270.995999999999</v>
      </c>
      <c r="S112" s="32">
        <f>'[21]2018 - 2022'!S112+'[22]2018-2022'!S112</f>
        <v>15511.481390000001</v>
      </c>
      <c r="T112" s="32">
        <f>'[23]2018 - 2022'!T112+'[24]2018-2022'!T112</f>
        <v>17256.754219999999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</row>
    <row r="113" spans="1:39" ht="15" customHeight="1" x14ac:dyDescent="0.15">
      <c r="B113" s="2" t="s">
        <v>25</v>
      </c>
      <c r="C113" s="32">
        <v>11153</v>
      </c>
      <c r="D113" s="32">
        <v>17801</v>
      </c>
      <c r="E113" s="32">
        <v>16829</v>
      </c>
      <c r="F113" s="32">
        <f>('[1]2015 - 2018'!R113)+('[2]2015-2018'!R113)</f>
        <v>7315</v>
      </c>
      <c r="G113" s="32">
        <v>10570</v>
      </c>
      <c r="H113" s="32">
        <v>14295</v>
      </c>
      <c r="I113" s="32">
        <v>18410</v>
      </c>
      <c r="J113" s="32">
        <f>'[3]2015 - 2019'!R113+'[4]2015-2019'!R113</f>
        <v>18119</v>
      </c>
      <c r="K113" s="32">
        <f>'[5]2015 - 2019'!S113+'[6]2015-2019'!S113</f>
        <v>22482</v>
      </c>
      <c r="L113" s="32">
        <f>'[7]2015 - 2019'!T113+'[8]2015-2019'!T113</f>
        <v>56033</v>
      </c>
      <c r="M113" s="32">
        <f>'[9]2015 - 2019'!U113+'[10]2015-2019'!U113</f>
        <v>45841</v>
      </c>
      <c r="N113" s="32">
        <f>'[11]2015 - 2019'!V113+'[12]2015-2019'!V113</f>
        <v>49194.885999999999</v>
      </c>
      <c r="O113" s="32">
        <f>'[13]2015 - 2019'!W113+'[14]2016-2021'!W113</f>
        <v>54265.157149999999</v>
      </c>
      <c r="P113" s="32">
        <f>'[15]2016 - 2021'!X113+'[16]2016-2021'!X113</f>
        <v>60143.548600000002</v>
      </c>
      <c r="Q113" s="32">
        <f>'[17]2016 - 2021'!Y113+'[18]2016-2021'!Y113</f>
        <v>46158.733189999999</v>
      </c>
      <c r="R113" s="32">
        <f>'[19]2016 - 2021'!Z113+'[20]2016-2021'!Z113</f>
        <v>40117.766280000003</v>
      </c>
      <c r="S113" s="32">
        <f>'[21]2018 - 2022'!S113+'[22]2018-2022'!S113</f>
        <v>38284.330560000002</v>
      </c>
      <c r="T113" s="32">
        <f>'[23]2018 - 2022'!T113+'[24]2018-2022'!T113</f>
        <v>66875.852469999998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</row>
    <row r="114" spans="1:39" ht="15" customHeight="1" x14ac:dyDescent="0.15">
      <c r="B114" s="2" t="s">
        <v>46</v>
      </c>
      <c r="C114" s="32">
        <v>7686</v>
      </c>
      <c r="D114" s="32">
        <v>8826</v>
      </c>
      <c r="E114" s="32">
        <v>8982</v>
      </c>
      <c r="F114" s="32">
        <f>('[1]2015 - 2018'!R114)+('[2]2015-2018'!R114)</f>
        <v>13102</v>
      </c>
      <c r="G114" s="32">
        <v>6423</v>
      </c>
      <c r="H114" s="32">
        <v>7171</v>
      </c>
      <c r="I114" s="32">
        <v>4336</v>
      </c>
      <c r="J114" s="32">
        <f>'[3]2015 - 2019'!R114+'[4]2015-2019'!R114</f>
        <v>4962</v>
      </c>
      <c r="K114" s="32">
        <f>'[5]2015 - 2019'!S114+'[6]2015-2019'!S114</f>
        <v>5790</v>
      </c>
      <c r="L114" s="32">
        <f>'[7]2015 - 2019'!T114+'[8]2015-2019'!T114</f>
        <v>5961</v>
      </c>
      <c r="M114" s="32">
        <f>'[9]2015 - 2019'!U114+'[10]2015-2019'!U114</f>
        <v>4570</v>
      </c>
      <c r="N114" s="32">
        <f>'[11]2015 - 2019'!V114+'[12]2015-2019'!V114</f>
        <v>3772.8229999999999</v>
      </c>
      <c r="O114" s="32">
        <f>'[13]2015 - 2019'!W114+'[14]2016-2021'!W114</f>
        <v>4690.5400499999996</v>
      </c>
      <c r="P114" s="32">
        <f>'[15]2016 - 2021'!X114+'[16]2016-2021'!X114</f>
        <v>4211.3227299999999</v>
      </c>
      <c r="Q114" s="32">
        <f>'[17]2016 - 2021'!Y114+'[18]2016-2021'!Y114</f>
        <v>3515.2684800000002</v>
      </c>
      <c r="R114" s="32">
        <f>'[19]2016 - 2021'!Z114+'[20]2016-2021'!Z114</f>
        <v>3414.9483100000002</v>
      </c>
      <c r="S114" s="32">
        <f>'[21]2018 - 2022'!S114+'[22]2018-2022'!S114</f>
        <v>5556.2737200000001</v>
      </c>
      <c r="T114" s="32">
        <f>'[23]2018 - 2022'!T114+'[24]2018-2022'!T114</f>
        <v>5370.4795100000001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</row>
    <row r="115" spans="1:39" ht="15" customHeight="1" x14ac:dyDescent="0.15">
      <c r="B115" s="12" t="s">
        <v>64</v>
      </c>
      <c r="C115" s="32">
        <f>1956043+946038</f>
        <v>2902081</v>
      </c>
      <c r="D115" s="32">
        <f>876728+2126084</f>
        <v>3002812</v>
      </c>
      <c r="E115" s="32">
        <f>964818+1857236</f>
        <v>2822054</v>
      </c>
      <c r="F115" s="32">
        <f>('[1]2015 - 2018'!R115)+('[2]2015-2018'!R115)</f>
        <v>3515656</v>
      </c>
      <c r="G115" s="32">
        <f>1073664+2263241</f>
        <v>3336905</v>
      </c>
      <c r="H115" s="32">
        <f>1116563+2434288</f>
        <v>3550851</v>
      </c>
      <c r="I115" s="32">
        <f>1035502+2453127</f>
        <v>3488629</v>
      </c>
      <c r="J115" s="32">
        <f>'[3]2015 - 2019'!R115+'[4]2015-2019'!R115</f>
        <v>3745409</v>
      </c>
      <c r="K115" s="32">
        <f>'[5]2015 - 2019'!S115+'[6]2015-2019'!S115</f>
        <v>4113439</v>
      </c>
      <c r="L115" s="32">
        <f>'[7]2015 - 2019'!T115+'[8]2015-2019'!T115</f>
        <v>3687312</v>
      </c>
      <c r="M115" s="32">
        <f>'[9]2015 - 2019'!U115+'[10]2015-2019'!U115</f>
        <v>3781716</v>
      </c>
      <c r="N115" s="32">
        <f>'[11]2015 - 2019'!V115+'[12]2015-2019'!V115</f>
        <v>4918513.659</v>
      </c>
      <c r="O115" s="32">
        <f>'[13]2015 - 2019'!W115+'[14]2016-2021'!W115</f>
        <v>4188159.94429</v>
      </c>
      <c r="P115" s="32">
        <f>'[15]2016 - 2021'!X115+'[16]2016-2021'!X115</f>
        <v>5556455.2816000003</v>
      </c>
      <c r="Q115" s="32">
        <f>'[17]2016 - 2021'!Y115+'[18]2016-2021'!Y115</f>
        <v>5626526.3867699997</v>
      </c>
      <c r="R115" s="32">
        <f>'[19]2016 - 2021'!Z115+'[20]2016-2021'!Z115</f>
        <v>5694241.6497300006</v>
      </c>
      <c r="S115" s="32">
        <f>'[21]2018 - 2022'!S115+'[22]2018-2022'!S115</f>
        <v>5812915.2334099999</v>
      </c>
      <c r="T115" s="32">
        <f>'[23]2018 - 2022'!T115+'[24]2018-2022'!T115</f>
        <v>5078032.2040999997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</row>
    <row r="116" spans="1:39" ht="15" customHeight="1" x14ac:dyDescent="0.15">
      <c r="B116" s="2" t="s">
        <v>88</v>
      </c>
      <c r="C116" s="32">
        <v>1050242</v>
      </c>
      <c r="D116" s="32">
        <v>1060796</v>
      </c>
      <c r="E116" s="32">
        <f>1018195</f>
        <v>1018195</v>
      </c>
      <c r="F116" s="32">
        <f>('[1]2015 - 2018'!R116)+('[2]2015-2018'!R116)</f>
        <v>1037021</v>
      </c>
      <c r="G116" s="32">
        <v>1071315</v>
      </c>
      <c r="H116" s="32">
        <v>1071583</v>
      </c>
      <c r="I116" s="32">
        <v>1026514</v>
      </c>
      <c r="J116" s="32">
        <f>'[3]2015 - 2019'!R116+'[4]2015-2019'!R116</f>
        <v>1098155</v>
      </c>
      <c r="K116" s="32">
        <f>'[5]2015 - 2019'!S116+'[6]2015-2019'!S116</f>
        <v>1159418</v>
      </c>
      <c r="L116" s="32">
        <f>'[7]2015 - 2019'!T116+'[8]2015-2019'!T116</f>
        <v>1483155</v>
      </c>
      <c r="M116" s="32">
        <f>'[9]2015 - 2019'!U116+'[10]2015-2019'!U116</f>
        <v>1477885</v>
      </c>
      <c r="N116" s="32">
        <f>'[11]2015 - 2019'!V116+'[12]2015-2019'!V116</f>
        <v>1504893.351</v>
      </c>
      <c r="O116" s="32">
        <f>'[13]2015 - 2019'!W116+'[14]2016-2021'!W116</f>
        <v>1528643.7861599999</v>
      </c>
      <c r="P116" s="32">
        <f>'[15]2016 - 2021'!X116+'[16]2016-2021'!X116</f>
        <v>1534685.0064399999</v>
      </c>
      <c r="Q116" s="32">
        <f>'[17]2016 - 2021'!Y116+'[18]2016-2021'!Y116</f>
        <v>1552188.1747300001</v>
      </c>
      <c r="R116" s="32">
        <f>'[19]2016 - 2021'!Z116+'[20]2016-2021'!Z116</f>
        <v>1628945.8690599999</v>
      </c>
      <c r="S116" s="32">
        <f>'[21]2018 - 2022'!S116+'[22]2018-2022'!S116</f>
        <v>1671611.37213</v>
      </c>
      <c r="T116" s="32">
        <f>'[23]2018 - 2022'!T116+'[24]2018-2022'!T116</f>
        <v>1668640.8681900001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</row>
    <row r="117" spans="1:39" ht="15" customHeight="1" x14ac:dyDescent="0.1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</row>
    <row r="118" spans="1:39" ht="15" customHeight="1" x14ac:dyDescent="0.15">
      <c r="A118" s="4">
        <v>10</v>
      </c>
      <c r="B118" s="43" t="s">
        <v>10</v>
      </c>
      <c r="C118" s="19">
        <f t="shared" ref="C118:G118" si="114">SUM(C119:C126)</f>
        <v>3207450</v>
      </c>
      <c r="D118" s="19">
        <f t="shared" si="114"/>
        <v>2856269</v>
      </c>
      <c r="E118" s="19">
        <f t="shared" si="114"/>
        <v>2802916</v>
      </c>
      <c r="F118" s="19">
        <f t="shared" si="114"/>
        <v>2886433</v>
      </c>
      <c r="G118" s="19">
        <f t="shared" si="114"/>
        <v>3057496</v>
      </c>
      <c r="H118" s="19">
        <f t="shared" ref="H118:I118" si="115">SUM(H119:H126)</f>
        <v>2926915</v>
      </c>
      <c r="I118" s="19">
        <f t="shared" si="115"/>
        <v>2797347</v>
      </c>
      <c r="J118" s="19">
        <f t="shared" ref="J118" si="116">SUM(J119:J126)</f>
        <v>2737238</v>
      </c>
      <c r="K118" s="19">
        <f t="shared" ref="K118:P118" si="117">SUM(K119:K126)</f>
        <v>2496187</v>
      </c>
      <c r="L118" s="19">
        <f t="shared" si="117"/>
        <v>2435752</v>
      </c>
      <c r="M118" s="19">
        <f t="shared" si="117"/>
        <v>2133622</v>
      </c>
      <c r="N118" s="19">
        <f t="shared" si="117"/>
        <v>2108091.8659999999</v>
      </c>
      <c r="O118" s="19">
        <f t="shared" si="117"/>
        <v>2233620.3752100002</v>
      </c>
      <c r="P118" s="19">
        <f t="shared" si="117"/>
        <v>2092702.8056599998</v>
      </c>
      <c r="Q118" s="19">
        <f t="shared" ref="Q118:R118" si="118">SUM(Q119:Q126)</f>
        <v>1983254.5418899995</v>
      </c>
      <c r="R118" s="19">
        <f t="shared" si="118"/>
        <v>1911773.0164299998</v>
      </c>
      <c r="S118" s="19">
        <f t="shared" ref="S118:T118" si="119">SUM(S119:S126)</f>
        <v>2000782.4072400001</v>
      </c>
      <c r="T118" s="19">
        <f t="shared" si="119"/>
        <v>2098188.3581500002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</row>
    <row r="119" spans="1:39" ht="15" customHeight="1" x14ac:dyDescent="0.15">
      <c r="B119" s="2" t="s">
        <v>3</v>
      </c>
      <c r="C119" s="32">
        <v>952158</v>
      </c>
      <c r="D119" s="32">
        <v>911169</v>
      </c>
      <c r="E119" s="32">
        <f>865182</f>
        <v>865182</v>
      </c>
      <c r="F119" s="32">
        <f>('[1]2015 - 2018'!R119)+('[2]2015-2018'!R119)</f>
        <v>994722</v>
      </c>
      <c r="G119" s="32">
        <v>940932</v>
      </c>
      <c r="H119" s="32">
        <v>930942</v>
      </c>
      <c r="I119" s="32">
        <v>952346</v>
      </c>
      <c r="J119" s="32">
        <f>'[3]2015 - 2019'!R119+'[4]2015-2019'!R119</f>
        <v>956043</v>
      </c>
      <c r="K119" s="32">
        <f>'[5]2015 - 2019'!S119+'[6]2015-2019'!S119</f>
        <v>833028</v>
      </c>
      <c r="L119" s="32">
        <f>'[7]2015 - 2019'!T119+'[8]2015-2019'!T119</f>
        <v>756561</v>
      </c>
      <c r="M119" s="32">
        <f>'[9]2015 - 2019'!U119+'[10]2015-2019'!U119</f>
        <v>644693</v>
      </c>
      <c r="N119" s="32">
        <f>'[11]2015 - 2019'!V119+'[12]2015-2019'!V119</f>
        <v>680171.14300000004</v>
      </c>
      <c r="O119" s="32">
        <f>'[13]2015 - 2019'!W119+'[14]2016-2021'!W119</f>
        <v>762467.59933</v>
      </c>
      <c r="P119" s="32">
        <f>'[15]2016 - 2021'!X119+'[16]2016-2021'!X119</f>
        <v>657595.22710999998</v>
      </c>
      <c r="Q119" s="32">
        <f>'[17]2016 - 2021'!Y119+'[18]2016-2021'!Y119</f>
        <v>564663.39925999998</v>
      </c>
      <c r="R119" s="32">
        <f>'[19]2016 - 2021'!Z119+'[20]2016-2021'!Z119</f>
        <v>548574.72849999997</v>
      </c>
      <c r="S119" s="32">
        <f>'[21]2018 - 2022'!S119+'[22]2018-2022'!S119</f>
        <v>636851.90260000003</v>
      </c>
      <c r="T119" s="32">
        <f>'[23]2018 - 2022'!T119+'[24]2018-2022'!T119</f>
        <v>594436.06564000004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</row>
    <row r="120" spans="1:39" ht="15" customHeight="1" x14ac:dyDescent="0.15">
      <c r="B120" s="2" t="s">
        <v>21</v>
      </c>
      <c r="C120" s="32">
        <v>61151</v>
      </c>
      <c r="D120" s="32">
        <v>50245</v>
      </c>
      <c r="E120" s="32">
        <v>59517</v>
      </c>
      <c r="F120" s="32">
        <f>('[1]2015 - 2018'!R120)+('[2]2015-2018'!R120)</f>
        <v>59548</v>
      </c>
      <c r="G120" s="32">
        <v>64431</v>
      </c>
      <c r="H120" s="32">
        <v>64802</v>
      </c>
      <c r="I120" s="32">
        <v>63507</v>
      </c>
      <c r="J120" s="32">
        <f>'[3]2015 - 2019'!R120+'[4]2015-2019'!R120</f>
        <v>64437</v>
      </c>
      <c r="K120" s="32">
        <f>'[5]2015 - 2019'!S120+'[6]2015-2019'!S120</f>
        <v>196694</v>
      </c>
      <c r="L120" s="32">
        <f>'[7]2015 - 2019'!T120+'[8]2015-2019'!T120</f>
        <v>279268</v>
      </c>
      <c r="M120" s="32">
        <f>'[9]2015 - 2019'!U120+'[10]2015-2019'!U120</f>
        <v>124653</v>
      </c>
      <c r="N120" s="32">
        <f>'[11]2015 - 2019'!V120+'[12]2015-2019'!V120</f>
        <v>144072.60699999999</v>
      </c>
      <c r="O120" s="32">
        <f>'[13]2015 - 2019'!W120+'[14]2016-2021'!W120</f>
        <v>153766.02390999999</v>
      </c>
      <c r="P120" s="32">
        <f>'[15]2016 - 2021'!X120+'[16]2016-2021'!X120</f>
        <v>134291.16677000001</v>
      </c>
      <c r="Q120" s="32">
        <f>'[17]2016 - 2021'!Y120+'[18]2016-2021'!Y120</f>
        <v>158726.48365000001</v>
      </c>
      <c r="R120" s="32">
        <f>'[19]2016 - 2021'!Z120+'[20]2016-2021'!Z120</f>
        <v>147862.88542999999</v>
      </c>
      <c r="S120" s="32">
        <f>'[21]2018 - 2022'!S120+'[22]2018-2022'!S120</f>
        <v>145524.11744</v>
      </c>
      <c r="T120" s="32">
        <f>'[23]2018 - 2022'!T120+'[24]2018-2022'!T120</f>
        <v>83449.732300000003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</row>
    <row r="121" spans="1:39" ht="15" customHeight="1" x14ac:dyDescent="0.15">
      <c r="B121" s="2" t="s">
        <v>18</v>
      </c>
      <c r="C121" s="32">
        <v>369257</v>
      </c>
      <c r="D121" s="32">
        <v>398785</v>
      </c>
      <c r="E121" s="32">
        <v>447459</v>
      </c>
      <c r="F121" s="32">
        <f>('[1]2015 - 2018'!R121)+('[2]2015-2018'!R121)</f>
        <v>393392</v>
      </c>
      <c r="G121" s="32">
        <v>731220</v>
      </c>
      <c r="H121" s="32">
        <v>554367</v>
      </c>
      <c r="I121" s="32">
        <v>473952</v>
      </c>
      <c r="J121" s="32">
        <f>'[3]2015 - 2019'!R121+'[4]2015-2019'!R121</f>
        <v>345132</v>
      </c>
      <c r="K121" s="32">
        <f>'[5]2015 - 2019'!S121+'[6]2015-2019'!S121</f>
        <v>325656</v>
      </c>
      <c r="L121" s="32">
        <f>'[7]2015 - 2019'!T121+'[8]2015-2019'!T121</f>
        <v>337959</v>
      </c>
      <c r="M121" s="32">
        <f>'[9]2015 - 2019'!U121+'[10]2015-2019'!U121</f>
        <v>332848</v>
      </c>
      <c r="N121" s="32">
        <f>'[11]2015 - 2019'!V121+'[12]2015-2019'!V121</f>
        <v>325672.87800000003</v>
      </c>
      <c r="O121" s="32">
        <f>'[13]2015 - 2019'!W121+'[14]2016-2021'!W121</f>
        <v>420080.42358</v>
      </c>
      <c r="P121" s="32">
        <f>'[15]2016 - 2021'!X121+'[16]2016-2021'!X121</f>
        <v>466426.15239</v>
      </c>
      <c r="Q121" s="32">
        <f>'[17]2016 - 2021'!Y121+'[18]2016-2021'!Y121</f>
        <v>404288.38173000002</v>
      </c>
      <c r="R121" s="32">
        <f>'[19]2016 - 2021'!Z121+'[20]2016-2021'!Z121</f>
        <v>375625.52982</v>
      </c>
      <c r="S121" s="32">
        <f>'[21]2018 - 2022'!S121+'[22]2018-2022'!S121</f>
        <v>375286.49099000002</v>
      </c>
      <c r="T121" s="32">
        <f>'[23]2018 - 2022'!T121+'[24]2018-2022'!T121</f>
        <v>533011.78792999999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</row>
    <row r="122" spans="1:39" ht="15" customHeight="1" x14ac:dyDescent="0.15">
      <c r="B122" s="2" t="s">
        <v>12</v>
      </c>
      <c r="C122" s="32">
        <v>10721</v>
      </c>
      <c r="D122" s="32">
        <v>10728</v>
      </c>
      <c r="E122" s="32">
        <v>10818</v>
      </c>
      <c r="F122" s="32">
        <f>('[1]2015 - 2018'!R122)+('[2]2015-2018'!R122)</f>
        <v>22055</v>
      </c>
      <c r="G122" s="32">
        <v>22110</v>
      </c>
      <c r="H122" s="32">
        <v>12091</v>
      </c>
      <c r="I122" s="32">
        <v>7939</v>
      </c>
      <c r="J122" s="32">
        <f>'[3]2015 - 2019'!R122+'[4]2015-2019'!R122</f>
        <v>7972</v>
      </c>
      <c r="K122" s="32">
        <f>'[5]2015 - 2019'!S122+'[6]2015-2019'!S122</f>
        <v>8049</v>
      </c>
      <c r="L122" s="32">
        <f>'[7]2015 - 2019'!T122+'[8]2015-2019'!T122</f>
        <v>8071</v>
      </c>
      <c r="M122" s="32">
        <f>'[9]2015 - 2019'!U122+'[10]2015-2019'!U122</f>
        <v>8072</v>
      </c>
      <c r="N122" s="32">
        <f>'[11]2015 - 2019'!V122+'[12]2015-2019'!V122</f>
        <v>8101.5519999999997</v>
      </c>
      <c r="O122" s="32">
        <f>'[13]2015 - 2019'!W122+'[14]2016-2021'!W122</f>
        <v>8101.5519999999997</v>
      </c>
      <c r="P122" s="32">
        <f>'[15]2016 - 2021'!X122+'[16]2016-2021'!X122</f>
        <v>8104.6459999999997</v>
      </c>
      <c r="Q122" s="32">
        <f>'[17]2016 - 2021'!Y122+'[18]2016-2021'!Y122</f>
        <v>8112.1229999999996</v>
      </c>
      <c r="R122" s="32">
        <f>'[19]2016 - 2021'!Z122+'[20]2016-2021'!Z122</f>
        <v>8115.2209999999995</v>
      </c>
      <c r="S122" s="32">
        <f>'[21]2018 - 2022'!S122+'[22]2018-2022'!S122</f>
        <v>8115.2209999999995</v>
      </c>
      <c r="T122" s="32">
        <f>'[23]2018 - 2022'!T122+'[24]2018-2022'!T122</f>
        <v>8128.9110000000001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</row>
    <row r="123" spans="1:39" ht="15" customHeight="1" x14ac:dyDescent="0.15">
      <c r="B123" s="2" t="s">
        <v>33</v>
      </c>
      <c r="C123" s="32">
        <v>26790</v>
      </c>
      <c r="D123" s="32">
        <v>34153</v>
      </c>
      <c r="E123" s="32">
        <v>31467</v>
      </c>
      <c r="F123" s="32">
        <f>('[1]2015 - 2018'!R123)+('[2]2015-2018'!R123)</f>
        <v>57779</v>
      </c>
      <c r="G123" s="32">
        <v>45500</v>
      </c>
      <c r="H123" s="32">
        <v>15109</v>
      </c>
      <c r="I123" s="32">
        <v>15247</v>
      </c>
      <c r="J123" s="32">
        <f>'[3]2015 - 2019'!R123+'[4]2015-2019'!R123</f>
        <v>23565</v>
      </c>
      <c r="K123" s="32">
        <f>'[5]2015 - 2019'!S123+'[6]2015-2019'!S123</f>
        <v>15762</v>
      </c>
      <c r="L123" s="32">
        <f>'[7]2015 - 2019'!T123+'[8]2015-2019'!T123</f>
        <v>14759</v>
      </c>
      <c r="M123" s="32">
        <f>'[9]2015 - 2019'!U123+'[10]2015-2019'!U123</f>
        <v>12987</v>
      </c>
      <c r="N123" s="32">
        <f>'[11]2015 - 2019'!V123+'[12]2015-2019'!V123</f>
        <v>12560.45</v>
      </c>
      <c r="O123" s="32">
        <f>'[13]2015 - 2019'!W123+'[14]2016-2021'!W123</f>
        <v>23124.436820000003</v>
      </c>
      <c r="P123" s="32">
        <f>'[15]2016 - 2021'!X123+'[16]2016-2021'!X123</f>
        <v>16135.185590000001</v>
      </c>
      <c r="Q123" s="32">
        <f>'[17]2016 - 2021'!Y123+'[18]2016-2021'!Y123</f>
        <v>14129.12347</v>
      </c>
      <c r="R123" s="32">
        <f>'[19]2016 - 2021'!Z123+'[20]2016-2021'!Z123</f>
        <v>13977.89791</v>
      </c>
      <c r="S123" s="32">
        <f>'[21]2018 - 2022'!S123+'[22]2018-2022'!S123</f>
        <v>37979.625889999996</v>
      </c>
      <c r="T123" s="32">
        <f>'[23]2018 - 2022'!T123+'[24]2018-2022'!T123</f>
        <v>72441.730039999995</v>
      </c>
    </row>
    <row r="124" spans="1:39" ht="15" customHeight="1" x14ac:dyDescent="0.15">
      <c r="B124" s="2" t="s">
        <v>46</v>
      </c>
      <c r="C124" s="32">
        <f>68000+7483</f>
        <v>75483</v>
      </c>
      <c r="D124" s="32">
        <v>10300</v>
      </c>
      <c r="E124" s="32">
        <f>13610+737</f>
        <v>14347</v>
      </c>
      <c r="F124" s="32">
        <f>('[1]2015 - 2018'!R124)+('[2]2015-2018'!R124)</f>
        <v>9999</v>
      </c>
      <c r="G124" s="32">
        <v>43297</v>
      </c>
      <c r="H124" s="32">
        <v>70426</v>
      </c>
      <c r="I124" s="32">
        <v>39677</v>
      </c>
      <c r="J124" s="32">
        <f>'[3]2015 - 2019'!R124+'[4]2015-2019'!R124</f>
        <v>9196</v>
      </c>
      <c r="K124" s="32">
        <f>'[5]2015 - 2019'!S124+'[6]2015-2019'!S124</f>
        <v>7426</v>
      </c>
      <c r="L124" s="32">
        <f>'[7]2015 - 2019'!T124+'[8]2015-2019'!T124</f>
        <v>6480</v>
      </c>
      <c r="M124" s="32">
        <f>'[9]2015 - 2019'!U124+'[10]2015-2019'!U124</f>
        <v>48795</v>
      </c>
      <c r="N124" s="32">
        <f>'[11]2015 - 2019'!V124+'[12]2015-2019'!V124</f>
        <v>8433.9030000000002</v>
      </c>
      <c r="O124" s="32">
        <f>'[13]2015 - 2019'!W124+'[14]2016-2021'!W124</f>
        <v>8252.7124600000006</v>
      </c>
      <c r="P124" s="32">
        <f>'[15]2016 - 2021'!X124+'[16]2016-2021'!X124</f>
        <v>8648.9511299999995</v>
      </c>
      <c r="Q124" s="32">
        <f>'[17]2016 - 2021'!Y124+'[18]2016-2021'!Y124</f>
        <v>8841.9408199999998</v>
      </c>
      <c r="R124" s="32">
        <f>'[19]2016 - 2021'!Z124+'[20]2016-2021'!Z124</f>
        <v>14857.584290000001</v>
      </c>
      <c r="S124" s="32">
        <f>'[21]2018 - 2022'!S124+'[22]2018-2022'!S124</f>
        <v>13598.001689999999</v>
      </c>
      <c r="T124" s="32">
        <f>'[23]2018 - 2022'!T124+'[24]2018-2022'!T124</f>
        <v>15204.54905</v>
      </c>
    </row>
    <row r="125" spans="1:39" ht="15" customHeight="1" x14ac:dyDescent="0.15">
      <c r="B125" s="12" t="s">
        <v>83</v>
      </c>
      <c r="C125" s="32">
        <f>318278+613609</f>
        <v>931887</v>
      </c>
      <c r="D125" s="32">
        <f>538600+167421</f>
        <v>706021</v>
      </c>
      <c r="E125" s="32">
        <f>541459+130298</f>
        <v>671757</v>
      </c>
      <c r="F125" s="32">
        <f>('[1]2015 - 2018'!R125)+('[2]2015-2018'!R125)</f>
        <v>699734</v>
      </c>
      <c r="G125" s="32">
        <f>121980+470631</f>
        <v>592611</v>
      </c>
      <c r="H125" s="32">
        <f>486707+145417</f>
        <v>632124</v>
      </c>
      <c r="I125" s="32">
        <f>496385+147752</f>
        <v>644137</v>
      </c>
      <c r="J125" s="32">
        <f>'[3]2015 - 2019'!R125+'[4]2015-2019'!R125</f>
        <v>650121</v>
      </c>
      <c r="K125" s="32">
        <f>'[5]2015 - 2019'!S125+'[6]2015-2019'!S125</f>
        <v>492606</v>
      </c>
      <c r="L125" s="32">
        <f>'[7]2015 - 2019'!T125+'[8]2015-2019'!T125</f>
        <v>439195</v>
      </c>
      <c r="M125" s="32">
        <f>'[9]2015 - 2019'!U125+'[10]2015-2019'!U125</f>
        <v>380525</v>
      </c>
      <c r="N125" s="32">
        <f>'[11]2015 - 2019'!V125+'[12]2015-2019'!V125</f>
        <v>370967.641</v>
      </c>
      <c r="O125" s="32">
        <f>'[13]2015 - 2019'!W125+'[14]2016-2021'!W125</f>
        <v>327113.20004999998</v>
      </c>
      <c r="P125" s="32">
        <f>'[15]2016 - 2021'!X125+'[16]2016-2021'!X125</f>
        <v>284276.79618</v>
      </c>
      <c r="Q125" s="32">
        <f>'[17]2016 - 2021'!Y125+'[18]2016-2021'!Y125</f>
        <v>310836.69998999999</v>
      </c>
      <c r="R125" s="32">
        <f>'[19]2016 - 2021'!Z125+'[20]2016-2021'!Z125</f>
        <v>301005.08445999998</v>
      </c>
      <c r="S125" s="32">
        <f>'[21]2018 - 2022'!S125+'[22]2018-2022'!S125</f>
        <v>261356.70915000001</v>
      </c>
      <c r="T125" s="32">
        <f>'[23]2018 - 2022'!T125+'[24]2018-2022'!T125</f>
        <v>281258.75771999999</v>
      </c>
    </row>
    <row r="126" spans="1:39" ht="15" customHeight="1" x14ac:dyDescent="0.15">
      <c r="B126" s="2" t="s">
        <v>88</v>
      </c>
      <c r="C126" s="32">
        <f>6550+773453</f>
        <v>780003</v>
      </c>
      <c r="D126" s="32">
        <f>731335+3533</f>
        <v>734868</v>
      </c>
      <c r="E126" s="32">
        <f>701951+418</f>
        <v>702369</v>
      </c>
      <c r="F126" s="32">
        <f>('[1]2015 - 2018'!R126)+('[2]2015-2018'!R126)</f>
        <v>649204</v>
      </c>
      <c r="G126" s="32">
        <v>617395</v>
      </c>
      <c r="H126" s="32">
        <v>647054</v>
      </c>
      <c r="I126" s="32">
        <v>600542</v>
      </c>
      <c r="J126" s="32">
        <f>'[3]2015 - 2019'!R126+'[4]2015-2019'!R126</f>
        <v>680772</v>
      </c>
      <c r="K126" s="32">
        <f>'[5]2015 - 2019'!S126+'[6]2015-2019'!S126</f>
        <v>616966</v>
      </c>
      <c r="L126" s="32">
        <f>'[7]2015 - 2019'!T126+'[8]2015-2019'!T126</f>
        <v>593459</v>
      </c>
      <c r="M126" s="32">
        <f>'[9]2015 - 2019'!U126+'[10]2015-2019'!U126</f>
        <v>581049</v>
      </c>
      <c r="N126" s="32">
        <f>'[11]2015 - 2019'!V126+'[12]2015-2019'!V126</f>
        <v>558111.69200000004</v>
      </c>
      <c r="O126" s="32">
        <f>'[13]2015 - 2019'!W126+'[14]2016-2021'!W126</f>
        <v>530714.42706000002</v>
      </c>
      <c r="P126" s="32">
        <f>'[15]2016 - 2021'!X126+'[16]2016-2021'!X126</f>
        <v>517224.68049</v>
      </c>
      <c r="Q126" s="32">
        <f>'[17]2016 - 2021'!Y126+'[18]2016-2021'!Y126</f>
        <v>513656.38997000002</v>
      </c>
      <c r="R126" s="32">
        <f>'[19]2016 - 2021'!Z126+'[20]2016-2021'!Z126</f>
        <v>501754.08502</v>
      </c>
      <c r="S126" s="32">
        <f>'[21]2018 - 2022'!S126+'[22]2018-2022'!S126</f>
        <v>522070.33847999998</v>
      </c>
      <c r="T126" s="32">
        <f>'[23]2018 - 2022'!T126+'[24]2018-2022'!T126</f>
        <v>510256.82446999999</v>
      </c>
    </row>
    <row r="127" spans="1:39" ht="15" customHeight="1" x14ac:dyDescent="0.15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39" ht="15" customHeight="1" x14ac:dyDescent="0.15">
      <c r="A128" s="4">
        <v>11</v>
      </c>
      <c r="B128" s="43" t="s">
        <v>39</v>
      </c>
      <c r="C128" s="19">
        <f t="shared" ref="C128:G128" si="120">SUM(C129:C133)</f>
        <v>7534703</v>
      </c>
      <c r="D128" s="19">
        <f t="shared" si="120"/>
        <v>7036451</v>
      </c>
      <c r="E128" s="19">
        <f t="shared" si="120"/>
        <v>6405182</v>
      </c>
      <c r="F128" s="19">
        <f t="shared" si="120"/>
        <v>6032548</v>
      </c>
      <c r="G128" s="19">
        <f t="shared" si="120"/>
        <v>4785292</v>
      </c>
      <c r="H128" s="19">
        <f t="shared" ref="H128:I128" si="121">SUM(H129:H133)</f>
        <v>4488198</v>
      </c>
      <c r="I128" s="19">
        <f t="shared" si="121"/>
        <v>4505049</v>
      </c>
      <c r="J128" s="19">
        <f t="shared" ref="J128" si="122">SUM(J129:J133)</f>
        <v>5302180</v>
      </c>
      <c r="K128" s="19">
        <f t="shared" ref="K128:P128" si="123">SUM(K129:K133)</f>
        <v>3968385</v>
      </c>
      <c r="L128" s="19">
        <f t="shared" si="123"/>
        <v>3537577</v>
      </c>
      <c r="M128" s="19">
        <f t="shared" si="123"/>
        <v>4960171</v>
      </c>
      <c r="N128" s="19">
        <f t="shared" si="123"/>
        <v>3905081.8570000003</v>
      </c>
      <c r="O128" s="19">
        <f t="shared" si="123"/>
        <v>3948865.2792500001</v>
      </c>
      <c r="P128" s="19">
        <f t="shared" si="123"/>
        <v>3863193.3548000003</v>
      </c>
      <c r="Q128" s="19">
        <f t="shared" ref="Q128:R128" si="124">SUM(Q129:Q133)</f>
        <v>4265668.7609999999</v>
      </c>
      <c r="R128" s="19">
        <f t="shared" si="124"/>
        <v>3976023.2789499997</v>
      </c>
      <c r="S128" s="19">
        <f t="shared" ref="S128:T128" si="125">SUM(S129:S133)</f>
        <v>4659350.05932</v>
      </c>
      <c r="T128" s="19">
        <f t="shared" si="125"/>
        <v>3861458.2988800001</v>
      </c>
    </row>
    <row r="129" spans="1:20" ht="15" customHeight="1" x14ac:dyDescent="0.15">
      <c r="B129" s="16" t="s">
        <v>20</v>
      </c>
      <c r="C129" s="32">
        <v>2553892</v>
      </c>
      <c r="D129" s="32">
        <v>2432040</v>
      </c>
      <c r="E129" s="32">
        <v>2223335</v>
      </c>
      <c r="F129" s="32">
        <f>('[1]2015 - 2018'!R129)+('[2]2015-2018'!R129)</f>
        <v>2007436</v>
      </c>
      <c r="G129" s="32">
        <v>1928158</v>
      </c>
      <c r="H129" s="32">
        <v>1966783</v>
      </c>
      <c r="I129" s="32">
        <v>2043786</v>
      </c>
      <c r="J129" s="32">
        <f>'[3]2015 - 2019'!R129+'[4]2015-2019'!R129</f>
        <v>1795861</v>
      </c>
      <c r="K129" s="32">
        <f>'[5]2015 - 2019'!S129+'[6]2015-2019'!S129</f>
        <v>1466379</v>
      </c>
      <c r="L129" s="32">
        <f>'[7]2015 - 2019'!T129+'[8]2015-2019'!T129</f>
        <v>1234978</v>
      </c>
      <c r="M129" s="32">
        <f>'[9]2015 - 2019'!U129+'[10]2015-2019'!U129</f>
        <v>1448705</v>
      </c>
      <c r="N129" s="32">
        <f>'[11]2015 - 2019'!V129+'[12]2015-2019'!V129</f>
        <v>1438386.9439999999</v>
      </c>
      <c r="O129" s="32">
        <f>'[13]2015 - 2019'!W129+'[14]2016-2021'!W129</f>
        <v>1340277.08201</v>
      </c>
      <c r="P129" s="32">
        <f>'[15]2016 - 2021'!X129+'[16]2016-2021'!X129</f>
        <v>1320239.79926</v>
      </c>
      <c r="Q129" s="32">
        <f>'[17]2016 - 2021'!Y129+'[18]2016-2021'!Y129</f>
        <v>1338642.1513100001</v>
      </c>
      <c r="R129" s="32">
        <f>'[19]2016 - 2021'!Z129+'[20]2016-2021'!Z129</f>
        <v>1143008.3060300001</v>
      </c>
      <c r="S129" s="32">
        <f>'[21]2018 - 2022'!S129+'[22]2018-2022'!S129</f>
        <v>1147763.0626699999</v>
      </c>
      <c r="T129" s="32">
        <f>'[23]2018 - 2022'!T129+'[24]2018-2022'!T129</f>
        <v>1059964.8947099999</v>
      </c>
    </row>
    <row r="130" spans="1:20" ht="15" customHeight="1" x14ac:dyDescent="0.15">
      <c r="B130" s="2" t="s">
        <v>47</v>
      </c>
      <c r="C130" s="32">
        <f>521+48908</f>
        <v>49429</v>
      </c>
      <c r="D130" s="32">
        <f>31768+436</f>
        <v>32204</v>
      </c>
      <c r="E130" s="32">
        <f>18267+437</f>
        <v>18704</v>
      </c>
      <c r="F130" s="32">
        <f>('[1]2015 - 2018'!R130)+('[2]2015-2018'!R130)</f>
        <v>19835</v>
      </c>
      <c r="G130" s="32">
        <v>4409</v>
      </c>
      <c r="H130" s="32">
        <v>34699</v>
      </c>
      <c r="I130" s="32">
        <v>6890</v>
      </c>
      <c r="J130" s="32">
        <f>'[3]2015 - 2019'!R130+'[4]2015-2019'!R130</f>
        <v>39531</v>
      </c>
      <c r="K130" s="32">
        <f>'[5]2015 - 2019'!S130+'[6]2015-2019'!S130</f>
        <v>76994</v>
      </c>
      <c r="L130" s="32">
        <f>'[7]2015 - 2019'!T130+'[8]2015-2019'!T130</f>
        <v>76240</v>
      </c>
      <c r="M130" s="32">
        <f>'[9]2015 - 2019'!U130+'[10]2015-2019'!U130</f>
        <v>65223</v>
      </c>
      <c r="N130" s="32">
        <f>'[11]2015 - 2019'!V130+'[12]2015-2019'!V130</f>
        <v>67972.587</v>
      </c>
      <c r="O130" s="32">
        <f>'[13]2015 - 2019'!W130+'[14]2016-2021'!W130</f>
        <v>73102.866120000006</v>
      </c>
      <c r="P130" s="32">
        <f>'[15]2016 - 2021'!X130+'[16]2016-2021'!X130</f>
        <v>67479.262090000004</v>
      </c>
      <c r="Q130" s="32">
        <f>'[17]2016 - 2021'!Y130+'[18]2016-2021'!Y130</f>
        <v>64328.890659999997</v>
      </c>
      <c r="R130" s="32">
        <f>'[19]2016 - 2021'!Z130+'[20]2016-2021'!Z130</f>
        <v>71589.218560000008</v>
      </c>
      <c r="S130" s="32">
        <f>'[21]2018 - 2022'!S130+'[22]2018-2022'!S130</f>
        <v>104230.46431</v>
      </c>
      <c r="T130" s="32">
        <f>'[23]2018 - 2022'!T130+'[24]2018-2022'!T130</f>
        <v>106638.17884000001</v>
      </c>
    </row>
    <row r="131" spans="1:20" ht="15" customHeight="1" x14ac:dyDescent="0.15">
      <c r="B131" s="12" t="s">
        <v>64</v>
      </c>
      <c r="C131" s="32">
        <f>887708+481974</f>
        <v>1369682</v>
      </c>
      <c r="D131" s="32">
        <f>384429+810088</f>
        <v>1194517</v>
      </c>
      <c r="E131" s="32">
        <f>302346+841979</f>
        <v>1144325</v>
      </c>
      <c r="F131" s="32">
        <f>('[1]2015 - 2018'!R131)+('[2]2015-2018'!R131)</f>
        <v>823619</v>
      </c>
      <c r="G131" s="32">
        <f>883307+259385</f>
        <v>1142692</v>
      </c>
      <c r="H131" s="32">
        <f>473075+491297</f>
        <v>964372</v>
      </c>
      <c r="I131" s="32">
        <f>527845+471489</f>
        <v>999334</v>
      </c>
      <c r="J131" s="32">
        <f>'[3]2015 - 2019'!R131+'[4]2015-2019'!R131</f>
        <v>1037962</v>
      </c>
      <c r="K131" s="32">
        <f>'[5]2015 - 2019'!S131+'[6]2015-2019'!S131</f>
        <v>1058020</v>
      </c>
      <c r="L131" s="32">
        <f>'[7]2015 - 2019'!T131+'[8]2015-2019'!T131</f>
        <v>951904</v>
      </c>
      <c r="M131" s="32">
        <f>'[9]2015 - 2019'!U131+'[10]2015-2019'!U131</f>
        <v>797939</v>
      </c>
      <c r="N131" s="32">
        <f>'[11]2015 - 2019'!V131+'[12]2015-2019'!V131</f>
        <v>1073537.6540000001</v>
      </c>
      <c r="O131" s="32">
        <f>'[13]2015 - 2019'!W131+'[14]2016-2021'!W131</f>
        <v>1162504.88818</v>
      </c>
      <c r="P131" s="32">
        <f>'[15]2016 - 2021'!X131+'[16]2016-2021'!X131</f>
        <v>1121724.4659</v>
      </c>
      <c r="Q131" s="32">
        <f>'[17]2016 - 2021'!Y131+'[18]2016-2021'!Y131</f>
        <v>1396864.6893500001</v>
      </c>
      <c r="R131" s="32">
        <f>'[19]2016 - 2021'!Z131+'[20]2016-2021'!Z131</f>
        <v>1290828.78856</v>
      </c>
      <c r="S131" s="32">
        <f>'[21]2018 - 2022'!S131+'[22]2018-2022'!S131</f>
        <v>1963238.94044</v>
      </c>
      <c r="T131" s="32">
        <f>'[23]2018 - 2022'!T131+'[24]2018-2022'!T131</f>
        <v>1303740.20927</v>
      </c>
    </row>
    <row r="132" spans="1:20" ht="15" customHeight="1" x14ac:dyDescent="0.15">
      <c r="B132" s="12" t="s">
        <v>81</v>
      </c>
      <c r="C132" s="32">
        <f>902461+930465</f>
        <v>1832926</v>
      </c>
      <c r="D132" s="32">
        <f>989786+706883</f>
        <v>1696669</v>
      </c>
      <c r="E132" s="32">
        <f>846509+558118</f>
        <v>1404627</v>
      </c>
      <c r="F132" s="32">
        <f>('[1]2015 - 2018'!R132)+('[2]2015-2018'!R132)</f>
        <v>1763626</v>
      </c>
      <c r="G132" s="32">
        <v>1020009</v>
      </c>
      <c r="H132" s="32">
        <v>871600</v>
      </c>
      <c r="I132" s="32">
        <v>782731</v>
      </c>
      <c r="J132" s="32">
        <f>'[3]2015 - 2019'!R132+'[4]2015-2019'!R132</f>
        <v>1765953</v>
      </c>
      <c r="K132" s="32">
        <f>'[5]2015 - 2019'!S132+'[6]2015-2019'!S132</f>
        <v>699789</v>
      </c>
      <c r="L132" s="32">
        <f>'[7]2015 - 2019'!T132+'[8]2015-2019'!T132</f>
        <v>608615</v>
      </c>
      <c r="M132" s="32">
        <f>'[9]2015 - 2019'!U132+'[10]2015-2019'!U132</f>
        <v>1973734</v>
      </c>
      <c r="N132" s="32">
        <f>'[11]2015 - 2019'!V132+'[12]2015-2019'!V132</f>
        <v>659797.652</v>
      </c>
      <c r="O132" s="32">
        <f>'[13]2015 - 2019'!W132+'[14]2016-2021'!W132</f>
        <v>695881.32585000002</v>
      </c>
      <c r="P132" s="32">
        <f>'[15]2016 - 2021'!X132+'[16]2016-2021'!X132</f>
        <v>670011.63584999996</v>
      </c>
      <c r="Q132" s="32">
        <f>'[17]2016 - 2021'!Y132+'[18]2016-2021'!Y132</f>
        <v>750659.86728999997</v>
      </c>
      <c r="R132" s="32">
        <f>'[19]2016 - 2021'!Z132+'[20]2016-2021'!Z132</f>
        <v>761501.80156000005</v>
      </c>
      <c r="S132" s="32">
        <f>'[21]2018 - 2022'!S132+'[22]2018-2022'!S132</f>
        <v>740211.82291999995</v>
      </c>
      <c r="T132" s="32">
        <f>'[23]2018 - 2022'!T132+'[24]2018-2022'!T132</f>
        <v>685234.76165</v>
      </c>
    </row>
    <row r="133" spans="1:20" ht="15" customHeight="1" x14ac:dyDescent="0.15">
      <c r="B133" s="12" t="s">
        <v>84</v>
      </c>
      <c r="C133" s="32">
        <f>1032066+696708</f>
        <v>1728774</v>
      </c>
      <c r="D133" s="32">
        <f>693766+987255</f>
        <v>1681021</v>
      </c>
      <c r="E133" s="32">
        <f>729651+884540</f>
        <v>1614191</v>
      </c>
      <c r="F133" s="32">
        <f>('[1]2015 - 2018'!R133)+('[2]2015-2018'!R133)</f>
        <v>1418032</v>
      </c>
      <c r="G133" s="32">
        <v>690024</v>
      </c>
      <c r="H133" s="32">
        <v>650744</v>
      </c>
      <c r="I133" s="32">
        <v>672308</v>
      </c>
      <c r="J133" s="32">
        <f>'[3]2015 - 2019'!R133+'[4]2015-2019'!R133</f>
        <v>662873</v>
      </c>
      <c r="K133" s="32">
        <f>'[5]2015 - 2019'!S133+'[6]2015-2019'!S133</f>
        <v>667203</v>
      </c>
      <c r="L133" s="32">
        <f>'[7]2015 - 2019'!T133+'[8]2015-2019'!T133</f>
        <v>665840</v>
      </c>
      <c r="M133" s="32">
        <f>'[9]2015 - 2019'!U133+'[10]2015-2019'!U133</f>
        <v>674570</v>
      </c>
      <c r="N133" s="32">
        <f>'[11]2015 - 2019'!V133+'[12]2015-2019'!V133</f>
        <v>665387.02</v>
      </c>
      <c r="O133" s="32">
        <f>'[13]2015 - 2019'!W133+'[14]2016-2021'!W133</f>
        <v>677099.11708999996</v>
      </c>
      <c r="P133" s="32">
        <f>'[15]2016 - 2021'!X133+'[16]2016-2021'!X133</f>
        <v>683738.19169999997</v>
      </c>
      <c r="Q133" s="32">
        <f>'[17]2016 - 2021'!Y133+'[18]2016-2021'!Y133</f>
        <v>715173.16238999995</v>
      </c>
      <c r="R133" s="32">
        <f>'[19]2016 - 2021'!Z133+'[20]2016-2021'!Z133</f>
        <v>709095.16423999995</v>
      </c>
      <c r="S133" s="32">
        <f>'[21]2018 - 2022'!S133+'[22]2018-2022'!S133</f>
        <v>703905.76898000005</v>
      </c>
      <c r="T133" s="32">
        <f>'[23]2018 - 2022'!T133+'[24]2018-2022'!T133</f>
        <v>705880.25440999994</v>
      </c>
    </row>
    <row r="134" spans="1:20" ht="12" customHeight="1" x14ac:dyDescent="0.15">
      <c r="B134" s="21"/>
      <c r="C134" s="45"/>
      <c r="D134" s="45"/>
      <c r="E134" s="45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5.95" customHeight="1" x14ac:dyDescent="0.15">
      <c r="A135" s="4">
        <v>12</v>
      </c>
      <c r="B135" s="7" t="s">
        <v>58</v>
      </c>
      <c r="C135" s="19">
        <f>1394754+7568</f>
        <v>1402322</v>
      </c>
      <c r="D135" s="19">
        <v>1556882</v>
      </c>
      <c r="E135" s="19">
        <f>26426+1532315</f>
        <v>1558741</v>
      </c>
      <c r="F135" s="19">
        <f>('[1]2015 - 2018'!R135)+('[2]2015-2018'!R135)</f>
        <v>562078</v>
      </c>
      <c r="G135" s="19">
        <v>0</v>
      </c>
      <c r="H135" s="19">
        <v>0</v>
      </c>
      <c r="I135" s="19">
        <v>0</v>
      </c>
      <c r="J135" s="19">
        <f>'[3]2015 - 2019'!R135+'[4]2015-2019'!R135</f>
        <v>0</v>
      </c>
      <c r="K135" s="19">
        <f>'[5]2015 - 2019'!S135+'[6]2015-2019'!S135</f>
        <v>900000</v>
      </c>
      <c r="L135" s="19">
        <f>'[7]2015 - 2019'!T135+'[8]2015-2019'!T135</f>
        <v>35252</v>
      </c>
      <c r="M135" s="19">
        <f>'[9]2015 - 2019'!U135+'[10]2015-2019'!U135</f>
        <v>0</v>
      </c>
      <c r="N135" s="19">
        <f>'[11]2015 - 2019'!V135+'[12]2015-2019'!V135</f>
        <v>0</v>
      </c>
      <c r="O135" s="19">
        <f>'[13]2015 - 2019'!W135+'[14]2016-2021'!W135</f>
        <v>890.04376999999999</v>
      </c>
      <c r="P135" s="19">
        <f>'[15]2016 - 2021'!X135+'[16]2016-2021'!X135</f>
        <v>490.00540000000001</v>
      </c>
      <c r="Q135" s="19">
        <f>'[17]2016 - 2021'!Y135+'[18]2016-2021'!Y135</f>
        <v>292150.27237999998</v>
      </c>
      <c r="R135" s="19">
        <f>'[19]2016 - 2021'!Z135+'[20]2016-2021'!Z135</f>
        <v>766.97799999999995</v>
      </c>
      <c r="S135" s="19">
        <f>'[21]2018 - 2022'!S135+'[22]2018-2022'!S135</f>
        <v>18242.317750000002</v>
      </c>
      <c r="T135" s="19">
        <f>'[23]2018 - 2022'!T135+'[24]2018-2022'!T135</f>
        <v>9928.5353400000004</v>
      </c>
    </row>
    <row r="136" spans="1:20" ht="15.95" customHeight="1" x14ac:dyDescent="0.15">
      <c r="A136" s="4">
        <v>13</v>
      </c>
      <c r="B136" s="7" t="s">
        <v>6</v>
      </c>
      <c r="C136" s="19">
        <f>558143+216582</f>
        <v>774725</v>
      </c>
      <c r="D136" s="19">
        <f>254241+527622</f>
        <v>781863</v>
      </c>
      <c r="E136" s="19">
        <f>275339+706985</f>
        <v>982324</v>
      </c>
      <c r="F136" s="19">
        <f>('[1]2015 - 2018'!R136)+('[2]2015-2018'!R136)</f>
        <v>817053</v>
      </c>
      <c r="G136" s="19">
        <f>169957+212492</f>
        <v>382449</v>
      </c>
      <c r="H136" s="19">
        <f>188263+329185</f>
        <v>517448</v>
      </c>
      <c r="I136" s="19">
        <f>330061+285554</f>
        <v>615615</v>
      </c>
      <c r="J136" s="19">
        <f>'[3]2015 - 2019'!R136+'[4]2015-2019'!R136</f>
        <v>443017</v>
      </c>
      <c r="K136" s="19">
        <f>'[5]2015 - 2019'!S136+'[6]2015-2019'!S136</f>
        <v>516881</v>
      </c>
      <c r="L136" s="19">
        <f>'[7]2015 - 2019'!T136+'[8]2015-2019'!T136</f>
        <v>417030</v>
      </c>
      <c r="M136" s="19">
        <f>'[9]2015 - 2019'!U136+'[10]2015-2019'!U136</f>
        <v>389047</v>
      </c>
      <c r="N136" s="19">
        <f>'[11]2015 - 2019'!V136+'[12]2015-2019'!V136</f>
        <v>419935.38399999996</v>
      </c>
      <c r="O136" s="19">
        <f>'[13]2015 - 2019'!W136+'[14]2016-2021'!W136</f>
        <v>564667.26490000007</v>
      </c>
      <c r="P136" s="19">
        <f>'[15]2016 - 2021'!X136+'[16]2016-2021'!X136</f>
        <v>455859.83519000001</v>
      </c>
      <c r="Q136" s="19">
        <f>'[17]2016 - 2021'!Y136+'[18]2016-2021'!Y136</f>
        <v>422226.32019999996</v>
      </c>
      <c r="R136" s="19">
        <f>'[19]2016 - 2021'!Z136+'[20]2016-2021'!Z136</f>
        <v>364458.25393999997</v>
      </c>
      <c r="S136" s="19">
        <f>'[21]2018 - 2022'!S136+'[22]2018-2022'!S136</f>
        <v>441660.85978</v>
      </c>
      <c r="T136" s="19">
        <f>'[23]2018 - 2022'!T136+'[24]2018-2022'!T136</f>
        <v>393622.07069000002</v>
      </c>
    </row>
    <row r="137" spans="1:20" ht="15.95" customHeight="1" x14ac:dyDescent="0.15">
      <c r="A137" s="4">
        <v>14</v>
      </c>
      <c r="B137" s="7" t="s">
        <v>7</v>
      </c>
      <c r="C137" s="19">
        <f t="shared" ref="C137:E137" si="126">+C96+C135+C136</f>
        <v>21357256</v>
      </c>
      <c r="D137" s="19">
        <f t="shared" si="126"/>
        <v>20297838</v>
      </c>
      <c r="E137" s="19">
        <f t="shared" si="126"/>
        <v>19085994</v>
      </c>
      <c r="F137" s="19">
        <f t="shared" ref="F137:J137" si="127">+F96+F135+F136</f>
        <v>18777070</v>
      </c>
      <c r="G137" s="19">
        <f t="shared" si="127"/>
        <v>16418114</v>
      </c>
      <c r="H137" s="19">
        <f t="shared" si="127"/>
        <v>16481526</v>
      </c>
      <c r="I137" s="19">
        <f t="shared" si="127"/>
        <v>16359098</v>
      </c>
      <c r="J137" s="19">
        <f t="shared" si="127"/>
        <v>17670758</v>
      </c>
      <c r="K137" s="19">
        <f t="shared" ref="K137:P137" si="128">+K96+K135+K136</f>
        <v>17606183</v>
      </c>
      <c r="L137" s="19">
        <f t="shared" si="128"/>
        <v>16179512</v>
      </c>
      <c r="M137" s="19">
        <f t="shared" si="128"/>
        <v>17455232</v>
      </c>
      <c r="N137" s="19">
        <f t="shared" si="128"/>
        <v>17741483.598999999</v>
      </c>
      <c r="O137" s="19">
        <f t="shared" si="128"/>
        <v>17593139.280949999</v>
      </c>
      <c r="P137" s="19">
        <f t="shared" si="128"/>
        <v>19129965.072039999</v>
      </c>
      <c r="Q137" s="19">
        <f t="shared" ref="Q137:R137" si="129">+Q96+Q135+Q136</f>
        <v>19476609.752649996</v>
      </c>
      <c r="R137" s="19">
        <f t="shared" si="129"/>
        <v>19075606.032130003</v>
      </c>
      <c r="S137" s="19">
        <f t="shared" ref="S137:T137" si="130">+S96+S135+S136</f>
        <v>20049298.457109999</v>
      </c>
      <c r="T137" s="19">
        <f t="shared" si="130"/>
        <v>18896239.947029997</v>
      </c>
    </row>
    <row r="138" spans="1:20" ht="15.95" customHeight="1" x14ac:dyDescent="0.15">
      <c r="A138" s="4">
        <v>15</v>
      </c>
      <c r="B138" s="7" t="s">
        <v>5</v>
      </c>
      <c r="C138" s="19">
        <f>764715+1845594</f>
        <v>2610309</v>
      </c>
      <c r="D138" s="19">
        <f>1892178+779033</f>
        <v>2671211</v>
      </c>
      <c r="E138" s="19">
        <f>1947746+822724</f>
        <v>2770470</v>
      </c>
      <c r="F138" s="19">
        <f>('[1]2015 - 2018'!R138)+('[2]2015-2018'!R138)</f>
        <v>2855356</v>
      </c>
      <c r="G138" s="19">
        <f>427756+2114992</f>
        <v>2542748</v>
      </c>
      <c r="H138" s="19">
        <f>2169678+432856</f>
        <v>2602534</v>
      </c>
      <c r="I138" s="19">
        <f>2076677+373505</f>
        <v>2450182</v>
      </c>
      <c r="J138" s="19">
        <f>'[3]2015 - 2019'!R138+'[4]2015-2019'!R138</f>
        <v>2510230</v>
      </c>
      <c r="K138" s="19">
        <f>'[5]2015 - 2019'!S138+'[6]2015-2019'!S138</f>
        <v>2537813</v>
      </c>
      <c r="L138" s="19">
        <f>'[7]2015 - 2019'!T138+'[8]2015-2019'!T138</f>
        <v>2442951</v>
      </c>
      <c r="M138" s="19">
        <f>'[9]2015 - 2019'!U138+'[10]2015-2019'!U138</f>
        <v>2409022</v>
      </c>
      <c r="N138" s="19">
        <f>'[11]2015 - 2019'!V138+'[12]2015-2019'!V138</f>
        <v>2450624.3450000002</v>
      </c>
      <c r="O138" s="19">
        <f>'[13]2015 - 2019'!W138+'[14]2016-2021'!W138</f>
        <v>2541259.8124599997</v>
      </c>
      <c r="P138" s="19">
        <f>'[15]2016 - 2021'!X138+'[16]2016-2021'!X138</f>
        <v>2598042.30473</v>
      </c>
      <c r="Q138" s="19">
        <f>'[17]2016 - 2021'!Y138+'[18]2016-2021'!Y138</f>
        <v>2631784.78663</v>
      </c>
      <c r="R138" s="19">
        <f>'[19]2016 - 2021'!Z138+'[20]2016-2021'!Z138</f>
        <v>2677810.2872299999</v>
      </c>
      <c r="S138" s="19">
        <f>'[21]2018 - 2022'!S138+'[22]2018-2022'!S138</f>
        <v>2646815.0522799999</v>
      </c>
      <c r="T138" s="19">
        <f>'[23]2018 - 2022'!T138+'[24]2018-2022'!T138</f>
        <v>2694949.2315599998</v>
      </c>
    </row>
    <row r="139" spans="1:20" ht="15.95" customHeight="1" x14ac:dyDescent="0.15">
      <c r="A139" s="4">
        <v>16</v>
      </c>
      <c r="B139" s="7" t="s">
        <v>15</v>
      </c>
      <c r="C139" s="19">
        <f t="shared" ref="C139:D139" si="131">C138+C137</f>
        <v>23967565</v>
      </c>
      <c r="D139" s="19">
        <f t="shared" si="131"/>
        <v>22969049</v>
      </c>
      <c r="E139" s="19">
        <f t="shared" ref="E139:J139" si="132">E138+E137</f>
        <v>21856464</v>
      </c>
      <c r="F139" s="19">
        <f t="shared" si="132"/>
        <v>21632426</v>
      </c>
      <c r="G139" s="19">
        <f t="shared" si="132"/>
        <v>18960862</v>
      </c>
      <c r="H139" s="19">
        <f t="shared" si="132"/>
        <v>19084060</v>
      </c>
      <c r="I139" s="19">
        <f t="shared" si="132"/>
        <v>18809280</v>
      </c>
      <c r="J139" s="19">
        <f t="shared" si="132"/>
        <v>20180988</v>
      </c>
      <c r="K139" s="19">
        <f t="shared" ref="K139:L139" si="133">K138+K137</f>
        <v>20143996</v>
      </c>
      <c r="L139" s="19">
        <f t="shared" si="133"/>
        <v>18622463</v>
      </c>
      <c r="M139" s="19">
        <f t="shared" ref="M139:N139" si="134">M138+M137</f>
        <v>19864254</v>
      </c>
      <c r="N139" s="19">
        <f t="shared" si="134"/>
        <v>20192107.943999998</v>
      </c>
      <c r="O139" s="19">
        <f t="shared" ref="O139:P139" si="135">O138+O137</f>
        <v>20134399.09341</v>
      </c>
      <c r="P139" s="19">
        <f t="shared" si="135"/>
        <v>21728007.376769997</v>
      </c>
      <c r="Q139" s="19">
        <f t="shared" ref="Q139:R139" si="136">Q138+Q137</f>
        <v>22108394.539279997</v>
      </c>
      <c r="R139" s="19">
        <f t="shared" si="136"/>
        <v>21753416.319360003</v>
      </c>
      <c r="S139" s="19">
        <f t="shared" ref="S139:T139" si="137">S138+S137</f>
        <v>22696113.50939</v>
      </c>
      <c r="T139" s="19">
        <f t="shared" si="137"/>
        <v>21591189.178589996</v>
      </c>
    </row>
    <row r="140" spans="1:20" ht="12" customHeight="1" x14ac:dyDescent="0.15">
      <c r="C140" s="8"/>
      <c r="D140" s="8"/>
      <c r="E140" s="8"/>
      <c r="F140" s="8"/>
    </row>
    <row r="141" spans="1:20" ht="12" customHeight="1" x14ac:dyDescent="0.15">
      <c r="B141" s="2" t="s">
        <v>24</v>
      </c>
      <c r="C141" s="46"/>
      <c r="D141" s="46"/>
      <c r="E141" s="46"/>
      <c r="F141" s="46"/>
    </row>
    <row r="142" spans="1:20" ht="12" customHeight="1" x14ac:dyDescent="0.15">
      <c r="B142" s="50" t="s">
        <v>116</v>
      </c>
    </row>
  </sheetData>
  <sheetProtection algorithmName="SHA-512" hashValue="2gfkx/HVvETK8m7fZ+vXwAROulkg9eN+2ew1bWSkBH45ZBINM5yDk6x3u5EAyys3IFEeHglPm+5qikshnkM1SA==" saltValue="qnYxLtYagdWAHgqjKD+7dQ==" spinCount="100000" sheet="1" objects="1" scenarios="1"/>
  <phoneticPr fontId="2" type="noConversion"/>
  <pageMargins left="0.75" right="0.75" top="0.73802083333333302" bottom="0.49" header="0.5" footer="0.5"/>
  <pageSetup paperSize="5" scale="60" orientation="landscape" r:id="rId1"/>
  <headerFooter alignWithMargins="0"/>
  <rowBreaks count="1" manualBreakCount="1">
    <brk id="9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92"/>
  <sheetViews>
    <sheetView showGridLines="0" workbookViewId="0">
      <selection activeCell="Y3" sqref="Y3"/>
    </sheetView>
  </sheetViews>
  <sheetFormatPr defaultColWidth="13" defaultRowHeight="15.95" customHeight="1" x14ac:dyDescent="0.15"/>
  <cols>
    <col min="1" max="1" width="4.7109375" style="1" customWidth="1"/>
    <col min="2" max="2" width="65.7109375" style="2" customWidth="1"/>
    <col min="3" max="3" width="15.7109375" style="54" customWidth="1"/>
    <col min="4" max="5" width="16.140625" style="54" customWidth="1"/>
    <col min="6" max="6" width="16.140625" style="54" bestFit="1" customWidth="1"/>
    <col min="7" max="7" width="13.5703125" style="54" bestFit="1" customWidth="1"/>
    <col min="8" max="8" width="15.140625" style="54" customWidth="1"/>
    <col min="9" max="18" width="13.7109375" style="54" hidden="1" customWidth="1"/>
    <col min="19" max="19" width="15.42578125" style="3" customWidth="1"/>
    <col min="20" max="20" width="13" style="2"/>
    <col min="21" max="21" width="14.7109375" style="3" customWidth="1"/>
    <col min="22" max="148" width="13" style="50"/>
    <col min="149" max="16384" width="13" style="2"/>
  </cols>
  <sheetData>
    <row r="1" spans="1:23" ht="44.1" customHeight="1" x14ac:dyDescent="0.15">
      <c r="A1" s="48"/>
      <c r="B1" s="162"/>
      <c r="C1" s="162"/>
      <c r="D1" s="162"/>
      <c r="E1" s="162"/>
      <c r="F1" s="162"/>
      <c r="G1" s="162"/>
      <c r="H1" s="162"/>
      <c r="I1" s="49"/>
      <c r="J1" s="49"/>
      <c r="K1" s="49"/>
      <c r="L1" s="49"/>
      <c r="M1" s="49"/>
      <c r="N1" s="49"/>
      <c r="O1" s="49"/>
      <c r="P1" s="49"/>
      <c r="Q1" s="49"/>
      <c r="R1" s="49"/>
      <c r="T1" s="50"/>
    </row>
    <row r="2" spans="1:23" ht="24" customHeight="1" thickBot="1" x14ac:dyDescent="0.2">
      <c r="A2" s="48"/>
      <c r="B2" s="51"/>
      <c r="C2" s="51"/>
      <c r="D2" s="51"/>
      <c r="E2" s="51"/>
      <c r="F2" s="51"/>
      <c r="G2" s="51"/>
      <c r="H2" s="51"/>
      <c r="I2" s="49"/>
      <c r="J2" s="49"/>
      <c r="K2" s="49"/>
      <c r="L2" s="49"/>
      <c r="M2" s="49"/>
      <c r="N2" s="49"/>
      <c r="O2" s="49"/>
      <c r="P2" s="49"/>
      <c r="Q2" s="49"/>
      <c r="R2" s="49"/>
      <c r="T2" s="50"/>
    </row>
    <row r="3" spans="1:23" ht="17.25" customHeight="1" thickBot="1" x14ac:dyDescent="0.2">
      <c r="B3" s="158" t="s">
        <v>41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52"/>
      <c r="N3" s="52"/>
      <c r="O3" s="52"/>
      <c r="P3" s="52"/>
      <c r="Q3" s="52"/>
      <c r="R3" s="52"/>
      <c r="S3" s="147"/>
      <c r="T3" s="147"/>
      <c r="U3" s="147"/>
      <c r="V3" s="147"/>
      <c r="W3" s="53"/>
    </row>
    <row r="4" spans="1:23" ht="12" customHeight="1" x14ac:dyDescent="0.15">
      <c r="A4" s="48"/>
      <c r="B4" s="50"/>
      <c r="C4" s="49"/>
      <c r="D4" s="49"/>
      <c r="E4" s="49"/>
      <c r="F4" s="49"/>
      <c r="G4" s="49"/>
      <c r="H4" s="49"/>
      <c r="T4" s="50"/>
      <c r="V4" s="3"/>
      <c r="W4" s="3"/>
    </row>
    <row r="5" spans="1:23" ht="18.95" customHeight="1" x14ac:dyDescent="0.2">
      <c r="A5" s="48"/>
      <c r="B5" s="55" t="s">
        <v>26</v>
      </c>
      <c r="C5" s="155">
        <v>2007</v>
      </c>
      <c r="D5" s="155">
        <v>2008</v>
      </c>
      <c r="E5" s="155">
        <v>2009</v>
      </c>
      <c r="F5" s="155">
        <v>2010</v>
      </c>
      <c r="G5" s="155">
        <v>2011</v>
      </c>
      <c r="H5" s="155">
        <v>2012</v>
      </c>
      <c r="I5" s="156">
        <v>2013</v>
      </c>
      <c r="J5" s="156" t="s">
        <v>63</v>
      </c>
      <c r="K5" s="156" t="s">
        <v>66</v>
      </c>
      <c r="L5" s="156" t="s">
        <v>67</v>
      </c>
      <c r="M5" s="156" t="s">
        <v>68</v>
      </c>
      <c r="N5" s="156" t="s">
        <v>71</v>
      </c>
      <c r="O5" s="156" t="s">
        <v>73</v>
      </c>
      <c r="P5" s="156" t="s">
        <v>74</v>
      </c>
      <c r="Q5" s="156" t="s">
        <v>75</v>
      </c>
      <c r="R5" s="156" t="s">
        <v>78</v>
      </c>
      <c r="S5" s="155">
        <v>2013</v>
      </c>
      <c r="T5" s="155">
        <v>2014</v>
      </c>
      <c r="U5" s="155">
        <v>2015</v>
      </c>
      <c r="V5" s="155">
        <v>2016</v>
      </c>
      <c r="W5" s="157">
        <v>2017</v>
      </c>
    </row>
    <row r="6" spans="1:23" ht="19.5" customHeight="1" x14ac:dyDescent="0.2">
      <c r="A6" s="4">
        <v>1</v>
      </c>
      <c r="B6" s="56" t="s">
        <v>34</v>
      </c>
      <c r="C6" s="57"/>
      <c r="D6" s="58"/>
      <c r="E6" s="59"/>
      <c r="F6" s="59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"/>
      <c r="T6" s="50"/>
      <c r="U6" s="6"/>
      <c r="V6" s="6"/>
      <c r="W6" s="6"/>
    </row>
    <row r="7" spans="1:23" ht="15.95" customHeight="1" x14ac:dyDescent="0.15">
      <c r="A7" s="48"/>
      <c r="B7" s="62" t="s">
        <v>85</v>
      </c>
      <c r="C7" s="63">
        <f>46562+515</f>
        <v>47077</v>
      </c>
      <c r="D7" s="63">
        <f>38962+1034</f>
        <v>39996</v>
      </c>
      <c r="E7" s="63">
        <f>42859+3526</f>
        <v>46385</v>
      </c>
      <c r="F7" s="63">
        <f>44452+197</f>
        <v>44649</v>
      </c>
      <c r="G7" s="64">
        <f>47090+168</f>
        <v>47258</v>
      </c>
      <c r="H7" s="65">
        <f>62354+167</f>
        <v>62521</v>
      </c>
      <c r="I7" s="66">
        <f>54574+174</f>
        <v>54748</v>
      </c>
      <c r="J7" s="66">
        <f>51387+179</f>
        <v>51566</v>
      </c>
      <c r="K7" s="66">
        <f>43400+181</f>
        <v>43581</v>
      </c>
      <c r="L7" s="66">
        <f>44407+174</f>
        <v>44581</v>
      </c>
      <c r="M7" s="66">
        <f>47706+191</f>
        <v>47897</v>
      </c>
      <c r="N7" s="66">
        <f>45348+169</f>
        <v>45517</v>
      </c>
      <c r="O7" s="66">
        <f>43009+168</f>
        <v>43177</v>
      </c>
      <c r="P7" s="66">
        <v>50428</v>
      </c>
      <c r="Q7" s="66">
        <f>53868+169</f>
        <v>54037</v>
      </c>
      <c r="R7" s="66">
        <f>67771+166</f>
        <v>67937</v>
      </c>
      <c r="S7" s="8">
        <f>54574+174</f>
        <v>54748</v>
      </c>
      <c r="T7" s="19">
        <f>47706+191</f>
        <v>47897</v>
      </c>
      <c r="U7" s="19">
        <f>53868+169</f>
        <v>54037</v>
      </c>
      <c r="V7" s="19">
        <f>167+68025</f>
        <v>68192</v>
      </c>
      <c r="W7" s="19">
        <f>169+63967</f>
        <v>64136</v>
      </c>
    </row>
    <row r="8" spans="1:23" ht="15.95" customHeight="1" x14ac:dyDescent="0.15">
      <c r="A8" s="48"/>
      <c r="B8" s="67" t="s">
        <v>35</v>
      </c>
      <c r="C8" s="65">
        <f>4674976+186678082</f>
        <v>191353058</v>
      </c>
      <c r="D8" s="65">
        <f>5346893+224062976</f>
        <v>229409869</v>
      </c>
      <c r="E8" s="65">
        <f>4721684+231138678</f>
        <v>235860362</v>
      </c>
      <c r="F8" s="65">
        <f>4550157+242746187</f>
        <v>247296344</v>
      </c>
      <c r="G8" s="64">
        <f>4285983+7005378</f>
        <v>11291361</v>
      </c>
      <c r="H8" s="65">
        <f>4901148+6683744</f>
        <v>11584892</v>
      </c>
      <c r="I8" s="66">
        <f>5341875+5117088</f>
        <v>10458963</v>
      </c>
      <c r="J8" s="66">
        <f>4608453+5875014</f>
        <v>10483467</v>
      </c>
      <c r="K8" s="66">
        <f>4250198+5616429</f>
        <v>9866627</v>
      </c>
      <c r="L8" s="66">
        <f>4105525+4846853</f>
        <v>8952378</v>
      </c>
      <c r="M8" s="66">
        <f>3486399+5121880</f>
        <v>8608279</v>
      </c>
      <c r="N8" s="66">
        <f>3603536+5110093</f>
        <v>8713629</v>
      </c>
      <c r="O8" s="66">
        <f>3328071+5853625</f>
        <v>9181696</v>
      </c>
      <c r="P8" s="66">
        <f>P9+P14</f>
        <v>8536716</v>
      </c>
      <c r="Q8" s="66">
        <f>3926768+3596831</f>
        <v>7523599</v>
      </c>
      <c r="R8" s="66">
        <f>3501460+3497541</f>
        <v>6999001</v>
      </c>
      <c r="S8" s="8">
        <f>5341875+5117088</f>
        <v>10458963</v>
      </c>
      <c r="T8" s="19">
        <f>3486399+5121880</f>
        <v>8608279</v>
      </c>
      <c r="U8" s="19">
        <f>3926768+3596831</f>
        <v>7523599</v>
      </c>
      <c r="V8" s="19">
        <f>+V9+V14</f>
        <v>6673740</v>
      </c>
      <c r="W8" s="19">
        <f>4038883+5486735</f>
        <v>9525618</v>
      </c>
    </row>
    <row r="9" spans="1:23" ht="15.95" customHeight="1" x14ac:dyDescent="0.15">
      <c r="A9" s="48"/>
      <c r="B9" s="68" t="s">
        <v>36</v>
      </c>
      <c r="C9" s="69">
        <f>9417+19445</f>
        <v>28862</v>
      </c>
      <c r="D9" s="69">
        <f>184669+30703</f>
        <v>215372</v>
      </c>
      <c r="E9" s="69">
        <f>156232+14030</f>
        <v>170262</v>
      </c>
      <c r="F9" s="69">
        <f>327199+17862</f>
        <v>345061</v>
      </c>
      <c r="G9" s="64">
        <f>223537+16602</f>
        <v>240139</v>
      </c>
      <c r="H9" s="64">
        <f>265231+229257-200000</f>
        <v>294488</v>
      </c>
      <c r="I9" s="66">
        <f>186162+220595-200000</f>
        <v>206757</v>
      </c>
      <c r="J9" s="66">
        <f>224127+227010-200000</f>
        <v>251137</v>
      </c>
      <c r="K9" s="66">
        <f>104753+223894-200000</f>
        <v>128647</v>
      </c>
      <c r="L9" s="66">
        <f>83127+20167</f>
        <v>103294</v>
      </c>
      <c r="M9" s="66">
        <f>156898+18345</f>
        <v>175243</v>
      </c>
      <c r="N9" s="66">
        <f>236525+12058</f>
        <v>248583</v>
      </c>
      <c r="O9" s="66">
        <f>240031+11794</f>
        <v>251825</v>
      </c>
      <c r="P9" s="66">
        <f>SUM(P10:P12)</f>
        <v>231327</v>
      </c>
      <c r="Q9" s="66">
        <f>37875+51836</f>
        <v>89711</v>
      </c>
      <c r="R9" s="66">
        <f>27861+47184</f>
        <v>75045</v>
      </c>
      <c r="S9" s="8">
        <f>186162+220595-200000</f>
        <v>206757</v>
      </c>
      <c r="T9" s="19">
        <f>156898+18345</f>
        <v>175243</v>
      </c>
      <c r="U9" s="19">
        <f>37875+51836</f>
        <v>89711</v>
      </c>
      <c r="V9" s="19">
        <f>+V10+V11+V12</f>
        <v>187098</v>
      </c>
      <c r="W9" s="19">
        <f>W10+W11+W12</f>
        <v>369305</v>
      </c>
    </row>
    <row r="10" spans="1:23" ht="15" customHeight="1" x14ac:dyDescent="0.15">
      <c r="A10" s="48"/>
      <c r="B10" s="28" t="s">
        <v>45</v>
      </c>
      <c r="C10" s="71">
        <f>9417+19445</f>
        <v>28862</v>
      </c>
      <c r="D10" s="71">
        <f>9669+30703</f>
        <v>40372</v>
      </c>
      <c r="E10" s="71">
        <f>56232+14030</f>
        <v>70262</v>
      </c>
      <c r="F10" s="71">
        <f>22199+17862</f>
        <v>40061</v>
      </c>
      <c r="G10" s="72">
        <f>23537+16602</f>
        <v>40139</v>
      </c>
      <c r="H10" s="72">
        <f>94720+229257-200000</f>
        <v>123977</v>
      </c>
      <c r="I10" s="73">
        <f>134825+220595-200000</f>
        <v>155420</v>
      </c>
      <c r="J10" s="73">
        <f>116919+227010-200000</f>
        <v>143929</v>
      </c>
      <c r="K10" s="73">
        <f>97453+223894-200000</f>
        <v>121347</v>
      </c>
      <c r="L10" s="73">
        <f>83127+20167</f>
        <v>103294</v>
      </c>
      <c r="M10" s="73">
        <f>81898+18345</f>
        <v>100243</v>
      </c>
      <c r="N10" s="73">
        <f>161525+12058</f>
        <v>173583</v>
      </c>
      <c r="O10" s="73">
        <f>165031+11794</f>
        <v>176825</v>
      </c>
      <c r="P10" s="73">
        <v>156327</v>
      </c>
      <c r="Q10" s="73">
        <f>29653+14592</f>
        <v>44245</v>
      </c>
      <c r="R10" s="73">
        <f>21699+11492</f>
        <v>33191</v>
      </c>
      <c r="S10" s="11">
        <f>134825+220595-200000</f>
        <v>155420</v>
      </c>
      <c r="T10" s="32">
        <f>81898+18345</f>
        <v>100243</v>
      </c>
      <c r="U10" s="32">
        <f>29653+14592</f>
        <v>44245</v>
      </c>
      <c r="V10" s="32">
        <f>18609+415+28732+70741</f>
        <v>118497</v>
      </c>
      <c r="W10" s="32">
        <f>13304+74057+2012</f>
        <v>89373</v>
      </c>
    </row>
    <row r="11" spans="1:23" ht="15" customHeight="1" x14ac:dyDescent="0.15">
      <c r="A11" s="48"/>
      <c r="B11" s="28" t="s">
        <v>44</v>
      </c>
      <c r="C11" s="74">
        <v>0</v>
      </c>
      <c r="D11" s="71">
        <v>175000</v>
      </c>
      <c r="E11" s="71">
        <v>100000</v>
      </c>
      <c r="F11" s="71">
        <v>305000</v>
      </c>
      <c r="G11" s="72">
        <f>200000+0</f>
        <v>200000</v>
      </c>
      <c r="H11" s="72">
        <f>170511+0</f>
        <v>170511</v>
      </c>
      <c r="I11" s="73">
        <v>51337</v>
      </c>
      <c r="J11" s="73">
        <v>107208</v>
      </c>
      <c r="K11" s="73">
        <v>7300</v>
      </c>
      <c r="L11" s="75">
        <v>0</v>
      </c>
      <c r="M11" s="75">
        <v>75000</v>
      </c>
      <c r="N11" s="75">
        <v>75000</v>
      </c>
      <c r="O11" s="75">
        <v>75000</v>
      </c>
      <c r="P11" s="73">
        <v>75000</v>
      </c>
      <c r="Q11" s="73">
        <f>8222+37244</f>
        <v>45466</v>
      </c>
      <c r="R11" s="73">
        <f>6162+35692</f>
        <v>41854</v>
      </c>
      <c r="S11" s="11">
        <v>51337</v>
      </c>
      <c r="T11" s="32">
        <v>75000</v>
      </c>
      <c r="U11" s="32">
        <f>8222+37244</f>
        <v>45466</v>
      </c>
      <c r="V11" s="32">
        <f>8600+60001</f>
        <v>68601</v>
      </c>
      <c r="W11" s="32">
        <f>41953+237979</f>
        <v>279932</v>
      </c>
    </row>
    <row r="12" spans="1:23" ht="15" customHeight="1" x14ac:dyDescent="0.15">
      <c r="A12" s="48"/>
      <c r="B12" s="28" t="s">
        <v>64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6">
        <v>0</v>
      </c>
      <c r="S12" s="13">
        <v>0</v>
      </c>
      <c r="T12" s="32">
        <v>0</v>
      </c>
      <c r="U12" s="32">
        <v>0</v>
      </c>
      <c r="V12" s="32">
        <v>0</v>
      </c>
      <c r="W12" s="32">
        <v>0</v>
      </c>
    </row>
    <row r="13" spans="1:23" ht="13.5" customHeight="1" x14ac:dyDescent="0.15">
      <c r="A13" s="48"/>
      <c r="B13" s="77"/>
      <c r="C13" s="78"/>
      <c r="D13" s="78"/>
      <c r="E13" s="78"/>
      <c r="F13" s="78"/>
      <c r="G13" s="73"/>
      <c r="H13" s="73"/>
      <c r="I13" s="75"/>
      <c r="J13" s="75"/>
      <c r="K13" s="75"/>
      <c r="L13" s="75"/>
      <c r="M13" s="75"/>
      <c r="N13" s="75"/>
      <c r="O13" s="75"/>
      <c r="P13" s="79"/>
      <c r="Q13" s="79"/>
      <c r="R13" s="79"/>
      <c r="S13" s="13"/>
      <c r="T13" s="13"/>
      <c r="U13" s="15"/>
      <c r="V13" s="32"/>
      <c r="W13" s="32"/>
    </row>
    <row r="14" spans="1:23" ht="15.95" customHeight="1" x14ac:dyDescent="0.15">
      <c r="A14" s="48"/>
      <c r="B14" s="68" t="s">
        <v>38</v>
      </c>
      <c r="C14" s="65">
        <f>4665559+186658637</f>
        <v>191324196</v>
      </c>
      <c r="D14" s="65">
        <f>5162224+224032273</f>
        <v>229194497</v>
      </c>
      <c r="E14" s="65">
        <f>4565452+231124648</f>
        <v>235690100</v>
      </c>
      <c r="F14" s="65">
        <f>4222958+242728325</f>
        <v>246951283</v>
      </c>
      <c r="G14" s="64">
        <f>4062446+6988776</f>
        <v>11051222</v>
      </c>
      <c r="H14" s="64">
        <f>4635917+6654487</f>
        <v>11290404</v>
      </c>
      <c r="I14" s="66">
        <f>5155713+5096493</f>
        <v>10252206</v>
      </c>
      <c r="J14" s="66">
        <f>4384326+5848004</f>
        <v>10232330</v>
      </c>
      <c r="K14" s="66">
        <f>4145445+5592535</f>
        <v>9737980</v>
      </c>
      <c r="L14" s="66">
        <f>4022398+4826686</f>
        <v>8849084</v>
      </c>
      <c r="M14" s="66">
        <f>3329501+5103535</f>
        <v>8433036</v>
      </c>
      <c r="N14" s="66">
        <f>3367011+5098035</f>
        <v>8465046</v>
      </c>
      <c r="O14" s="66">
        <f>3088040+5841831</f>
        <v>8929871</v>
      </c>
      <c r="P14" s="66">
        <f>SUM(P15:P17)</f>
        <v>8305389</v>
      </c>
      <c r="Q14" s="66">
        <f>3888893+3544995</f>
        <v>7433888</v>
      </c>
      <c r="R14" s="66">
        <f>3473599+3450357</f>
        <v>6923956</v>
      </c>
      <c r="S14" s="8">
        <f>5155713+5096493</f>
        <v>10252206</v>
      </c>
      <c r="T14" s="19">
        <f>3329501+5103535</f>
        <v>8433036</v>
      </c>
      <c r="U14" s="19">
        <f>3888893+3544995</f>
        <v>7433888</v>
      </c>
      <c r="V14" s="19">
        <f t="shared" ref="V14:W14" si="0">+V15+V16+V17+V18+V19</f>
        <v>6486642</v>
      </c>
      <c r="W14" s="19">
        <f t="shared" si="0"/>
        <v>9156313</v>
      </c>
    </row>
    <row r="15" spans="1:23" ht="15" customHeight="1" x14ac:dyDescent="0.15">
      <c r="A15" s="48"/>
      <c r="B15" s="80" t="s">
        <v>20</v>
      </c>
      <c r="C15" s="71">
        <f>4665559+186658637</f>
        <v>191324196</v>
      </c>
      <c r="D15" s="71">
        <f>5162224+224032273</f>
        <v>229194497</v>
      </c>
      <c r="E15" s="71">
        <f>3343419+230645690</f>
        <v>233989109</v>
      </c>
      <c r="F15" s="71">
        <f>3455730+242364680</f>
        <v>245820410</v>
      </c>
      <c r="G15" s="72">
        <f>3524670+6520967</f>
        <v>10045637</v>
      </c>
      <c r="H15" s="72">
        <f>3694352+6143096+200000</f>
        <v>10037448</v>
      </c>
      <c r="I15" s="73">
        <f>3942004+4556332+200000</f>
        <v>8698336</v>
      </c>
      <c r="J15" s="73">
        <f>3154911+5359573+200000</f>
        <v>8714484</v>
      </c>
      <c r="K15" s="73">
        <f>2929911+5156133+200000</f>
        <v>8286044</v>
      </c>
      <c r="L15" s="73">
        <f>2868971+4381308</f>
        <v>7250279</v>
      </c>
      <c r="M15" s="73">
        <f>2083006+4758967</f>
        <v>6841973</v>
      </c>
      <c r="N15" s="73">
        <f>2176549+4969120</f>
        <v>7145669</v>
      </c>
      <c r="O15" s="73">
        <f>1955664+5734385</f>
        <v>7690049</v>
      </c>
      <c r="P15" s="73">
        <f>6030865+1000005</f>
        <v>7030870</v>
      </c>
      <c r="Q15" s="73">
        <f>2417249+3449561</f>
        <v>5866810</v>
      </c>
      <c r="R15" s="73">
        <f>2431322+3162391</f>
        <v>5593713</v>
      </c>
      <c r="S15" s="11">
        <f>3942004+4556332+200000</f>
        <v>8698336</v>
      </c>
      <c r="T15" s="32">
        <f>2083006+4758967</f>
        <v>6841973</v>
      </c>
      <c r="U15" s="32">
        <f>2417249+3449561</f>
        <v>5866810</v>
      </c>
      <c r="V15" s="32">
        <f>2738920+2716001</f>
        <v>5454921</v>
      </c>
      <c r="W15" s="32">
        <f>3925461+3592552</f>
        <v>7518013</v>
      </c>
    </row>
    <row r="16" spans="1:23" ht="15" customHeight="1" x14ac:dyDescent="0.15">
      <c r="A16" s="48"/>
      <c r="B16" s="28" t="s">
        <v>47</v>
      </c>
      <c r="C16" s="81" t="s">
        <v>22</v>
      </c>
      <c r="D16" s="74">
        <v>0</v>
      </c>
      <c r="E16" s="71">
        <f>1222033+478958</f>
        <v>1700991</v>
      </c>
      <c r="F16" s="71">
        <f>767228+363645</f>
        <v>1130873</v>
      </c>
      <c r="G16" s="71">
        <v>1005585</v>
      </c>
      <c r="H16" s="72">
        <v>1231227</v>
      </c>
      <c r="I16" s="73">
        <f>1213709+340161</f>
        <v>1553870</v>
      </c>
      <c r="J16" s="73">
        <f>1229159+287752</f>
        <v>1516911</v>
      </c>
      <c r="K16" s="73">
        <f>1215534+236402</f>
        <v>1451936</v>
      </c>
      <c r="L16" s="73">
        <f>1153427+445378</f>
        <v>1598805</v>
      </c>
      <c r="M16" s="73">
        <f>1246495+344568</f>
        <v>1591063</v>
      </c>
      <c r="N16" s="73">
        <f>1190462+128915</f>
        <v>1319377</v>
      </c>
      <c r="O16" s="73">
        <f>1132376+107446</f>
        <v>1239822</v>
      </c>
      <c r="P16" s="73">
        <v>1274519</v>
      </c>
      <c r="Q16" s="73">
        <f>1471644+95423</f>
        <v>1567067</v>
      </c>
      <c r="R16" s="73">
        <f>1042277+287966</f>
        <v>1330243</v>
      </c>
      <c r="S16" s="11">
        <f>1213709+340161</f>
        <v>1553870</v>
      </c>
      <c r="T16" s="32">
        <f>1246495+344568</f>
        <v>1591063</v>
      </c>
      <c r="U16" s="32">
        <f>1471644+95423</f>
        <v>1567067</v>
      </c>
      <c r="V16" s="32">
        <f>22164+1009557</f>
        <v>1031721</v>
      </c>
      <c r="W16" s="32">
        <f>58165+1580135</f>
        <v>1638300</v>
      </c>
    </row>
    <row r="17" spans="1:148" ht="15" customHeight="1" x14ac:dyDescent="0.15">
      <c r="A17" s="48"/>
      <c r="B17" s="28" t="s">
        <v>64</v>
      </c>
      <c r="C17" s="81" t="s">
        <v>22</v>
      </c>
      <c r="D17" s="74">
        <v>0</v>
      </c>
      <c r="E17" s="74">
        <v>0</v>
      </c>
      <c r="F17" s="74">
        <v>0</v>
      </c>
      <c r="G17" s="74">
        <v>0</v>
      </c>
      <c r="H17" s="72">
        <v>21729</v>
      </c>
      <c r="I17" s="75">
        <v>0</v>
      </c>
      <c r="J17" s="75">
        <f>679+256</f>
        <v>935</v>
      </c>
      <c r="K17" s="75">
        <f>0</f>
        <v>0</v>
      </c>
      <c r="L17" s="75">
        <f>0</f>
        <v>0</v>
      </c>
      <c r="M17" s="75">
        <f>0</f>
        <v>0</v>
      </c>
      <c r="N17" s="75">
        <f>0</f>
        <v>0</v>
      </c>
      <c r="O17" s="75">
        <v>0</v>
      </c>
      <c r="P17" s="75">
        <v>0</v>
      </c>
      <c r="Q17" s="75">
        <v>0</v>
      </c>
      <c r="R17" s="75">
        <v>0</v>
      </c>
      <c r="S17" s="13">
        <v>0</v>
      </c>
      <c r="T17" s="32">
        <v>0</v>
      </c>
      <c r="U17" s="32">
        <v>0</v>
      </c>
      <c r="V17" s="32">
        <v>0</v>
      </c>
      <c r="W17" s="32">
        <v>0</v>
      </c>
    </row>
    <row r="18" spans="1:148" s="50" customFormat="1" ht="15" customHeight="1" x14ac:dyDescent="0.15">
      <c r="A18" s="48"/>
      <c r="B18" s="70" t="s">
        <v>81</v>
      </c>
      <c r="C18" s="81" t="s">
        <v>22</v>
      </c>
      <c r="D18" s="81" t="s">
        <v>22</v>
      </c>
      <c r="E18" s="81" t="s">
        <v>22</v>
      </c>
      <c r="F18" s="81" t="s">
        <v>22</v>
      </c>
      <c r="G18" s="81">
        <v>0</v>
      </c>
      <c r="H18" s="81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17">
        <v>0</v>
      </c>
      <c r="T18" s="32">
        <v>0</v>
      </c>
      <c r="U18" s="32">
        <v>0</v>
      </c>
      <c r="V18" s="32">
        <v>0</v>
      </c>
      <c r="W18" s="32">
        <v>0</v>
      </c>
    </row>
    <row r="19" spans="1:148" s="50" customFormat="1" ht="15" customHeight="1" x14ac:dyDescent="0.15">
      <c r="A19" s="48"/>
      <c r="B19" s="16" t="s">
        <v>89</v>
      </c>
      <c r="C19" s="81" t="s">
        <v>22</v>
      </c>
      <c r="D19" s="81" t="s">
        <v>22</v>
      </c>
      <c r="E19" s="81" t="s">
        <v>22</v>
      </c>
      <c r="F19" s="81" t="s">
        <v>22</v>
      </c>
      <c r="G19" s="81">
        <v>0</v>
      </c>
      <c r="H19" s="81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17">
        <v>0</v>
      </c>
      <c r="T19" s="32">
        <v>0</v>
      </c>
      <c r="U19" s="32">
        <v>0</v>
      </c>
      <c r="V19" s="32">
        <v>0</v>
      </c>
      <c r="W19" s="32">
        <v>0</v>
      </c>
    </row>
    <row r="20" spans="1:148" ht="12" customHeight="1" x14ac:dyDescent="0.15">
      <c r="A20" s="48"/>
      <c r="B20" s="82"/>
      <c r="C20" s="78"/>
      <c r="D20" s="78"/>
      <c r="E20" s="78"/>
      <c r="F20" s="78"/>
      <c r="G20" s="83"/>
      <c r="H20" s="49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13"/>
      <c r="T20" s="13"/>
      <c r="U20" s="13"/>
      <c r="V20" s="13"/>
      <c r="W20" s="13"/>
    </row>
    <row r="21" spans="1:148" ht="15.95" customHeight="1" x14ac:dyDescent="0.15">
      <c r="A21" s="84">
        <v>2</v>
      </c>
      <c r="B21" s="62" t="s">
        <v>48</v>
      </c>
      <c r="C21" s="65">
        <f>1743054+1398743</f>
        <v>3141797</v>
      </c>
      <c r="D21" s="65">
        <f>1715110+255728</f>
        <v>1970838</v>
      </c>
      <c r="E21" s="65">
        <f>1406247+203907</f>
        <v>1610154</v>
      </c>
      <c r="F21" s="65">
        <f>1088621+160307</f>
        <v>1248928</v>
      </c>
      <c r="G21" s="64">
        <f>1055536+112540</f>
        <v>1168076</v>
      </c>
      <c r="H21" s="64">
        <f>1237054+68110</f>
        <v>1305164</v>
      </c>
      <c r="I21" s="66">
        <f>1082749+199733</f>
        <v>1282482</v>
      </c>
      <c r="J21" s="66">
        <f>1207048+300599</f>
        <v>1507647</v>
      </c>
      <c r="K21" s="66">
        <f>1247816+263474</f>
        <v>1511290</v>
      </c>
      <c r="L21" s="66">
        <f>1328386+254967</f>
        <v>1583353</v>
      </c>
      <c r="M21" s="66">
        <f>1560400+222253</f>
        <v>1782653</v>
      </c>
      <c r="N21" s="66">
        <f>1758700+6014</f>
        <v>1764714</v>
      </c>
      <c r="O21" s="66">
        <f>2037810+5814</f>
        <v>2043624</v>
      </c>
      <c r="P21" s="66">
        <f>P22+P33</f>
        <v>795038</v>
      </c>
      <c r="Q21" s="66">
        <f>2571599+505738</f>
        <v>3077337</v>
      </c>
      <c r="R21" s="66">
        <f>3045215+505717</f>
        <v>3550932</v>
      </c>
      <c r="S21" s="8">
        <f>1082749+199733</f>
        <v>1282482</v>
      </c>
      <c r="T21" s="19">
        <f>1560400+222253</f>
        <v>1782653</v>
      </c>
      <c r="U21" s="19">
        <f>2571599+505738</f>
        <v>3077337</v>
      </c>
      <c r="V21" s="19">
        <f>+V22+V33</f>
        <v>4002351</v>
      </c>
      <c r="W21" s="19">
        <f>+W22+W33</f>
        <v>2908508</v>
      </c>
    </row>
    <row r="22" spans="1:148" s="20" customFormat="1" ht="15.95" customHeight="1" x14ac:dyDescent="0.15">
      <c r="A22" s="84"/>
      <c r="B22" s="68" t="s">
        <v>36</v>
      </c>
      <c r="C22" s="65">
        <v>39446</v>
      </c>
      <c r="D22" s="65">
        <v>39246</v>
      </c>
      <c r="E22" s="65">
        <v>47303</v>
      </c>
      <c r="F22" s="65">
        <v>35316</v>
      </c>
      <c r="G22" s="64">
        <f>34045+0</f>
        <v>34045</v>
      </c>
      <c r="H22" s="64">
        <f>27873+1266</f>
        <v>29139</v>
      </c>
      <c r="I22" s="66">
        <f>25961+13092</f>
        <v>39053</v>
      </c>
      <c r="J22" s="66">
        <f>25837+13128</f>
        <v>38965</v>
      </c>
      <c r="K22" s="66">
        <f>26546+12682</f>
        <v>39228</v>
      </c>
      <c r="L22" s="66">
        <f>25360+13079</f>
        <v>38439</v>
      </c>
      <c r="M22" s="66">
        <f>24492+12882</f>
        <v>37374</v>
      </c>
      <c r="N22" s="66">
        <f>25617</f>
        <v>25617</v>
      </c>
      <c r="O22" s="66">
        <v>9647</v>
      </c>
      <c r="P22" s="85">
        <v>9715</v>
      </c>
      <c r="Q22" s="85">
        <v>13253</v>
      </c>
      <c r="R22" s="85">
        <v>13218</v>
      </c>
      <c r="S22" s="8">
        <f>25961+13092</f>
        <v>39053</v>
      </c>
      <c r="T22" s="19">
        <f>24492+12882</f>
        <v>37374</v>
      </c>
      <c r="U22" s="19">
        <v>13253</v>
      </c>
      <c r="V22" s="19">
        <f t="shared" ref="V22" si="1">SUM(V23:V29)</f>
        <v>11593</v>
      </c>
      <c r="W22" s="19">
        <f t="shared" ref="W22" si="2">SUM(W23:W29)</f>
        <v>10019</v>
      </c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</row>
    <row r="23" spans="1:148" ht="15" customHeight="1" x14ac:dyDescent="0.15">
      <c r="A23" s="48"/>
      <c r="B23" s="50" t="s">
        <v>3</v>
      </c>
      <c r="C23" s="72">
        <v>14300</v>
      </c>
      <c r="D23" s="72">
        <v>12667</v>
      </c>
      <c r="E23" s="72">
        <v>11333</v>
      </c>
      <c r="F23" s="72">
        <v>10000</v>
      </c>
      <c r="G23" s="71">
        <v>9640</v>
      </c>
      <c r="H23" s="72">
        <f>9961+593</f>
        <v>10554</v>
      </c>
      <c r="I23" s="73">
        <f>10630+12883</f>
        <v>23513</v>
      </c>
      <c r="J23" s="73">
        <f>10739+12498</f>
        <v>23237</v>
      </c>
      <c r="K23" s="73">
        <f>10045+12432</f>
        <v>22477</v>
      </c>
      <c r="L23" s="73">
        <f>10060+12504</f>
        <v>22564</v>
      </c>
      <c r="M23" s="73">
        <f>9192+12436</f>
        <v>21628</v>
      </c>
      <c r="N23" s="73">
        <v>10317</v>
      </c>
      <c r="O23" s="73">
        <v>9647</v>
      </c>
      <c r="P23" s="73">
        <v>9615</v>
      </c>
      <c r="Q23" s="73">
        <v>13153</v>
      </c>
      <c r="R23" s="73">
        <v>13118</v>
      </c>
      <c r="S23" s="11">
        <f>10630+12883</f>
        <v>23513</v>
      </c>
      <c r="T23" s="32">
        <f>9192+12436</f>
        <v>21628</v>
      </c>
      <c r="U23" s="32">
        <v>13153</v>
      </c>
      <c r="V23" s="32">
        <v>11593</v>
      </c>
      <c r="W23" s="32">
        <v>10019</v>
      </c>
    </row>
    <row r="24" spans="1:148" ht="15" customHeight="1" x14ac:dyDescent="0.15">
      <c r="A24" s="48"/>
      <c r="B24" s="50" t="s">
        <v>13</v>
      </c>
      <c r="C24" s="72">
        <v>10300</v>
      </c>
      <c r="D24" s="72">
        <v>10300</v>
      </c>
      <c r="E24" s="72">
        <v>10063</v>
      </c>
      <c r="F24" s="72">
        <v>15300</v>
      </c>
      <c r="G24" s="71">
        <v>14639</v>
      </c>
      <c r="H24" s="72">
        <f>15000+0</f>
        <v>15000</v>
      </c>
      <c r="I24" s="73">
        <f>15331</f>
        <v>15331</v>
      </c>
      <c r="J24" s="73">
        <v>15098</v>
      </c>
      <c r="K24" s="73">
        <f>15467+0</f>
        <v>15467</v>
      </c>
      <c r="L24" s="73">
        <v>15300</v>
      </c>
      <c r="M24" s="73">
        <v>15300</v>
      </c>
      <c r="N24" s="73">
        <v>15300</v>
      </c>
      <c r="O24" s="75">
        <v>0</v>
      </c>
      <c r="P24" s="75">
        <v>0</v>
      </c>
      <c r="Q24" s="75">
        <v>0</v>
      </c>
      <c r="R24" s="75">
        <v>0</v>
      </c>
      <c r="S24" s="11">
        <f>15331</f>
        <v>15331</v>
      </c>
      <c r="T24" s="32">
        <v>15300</v>
      </c>
      <c r="U24" s="32">
        <v>0</v>
      </c>
      <c r="V24" s="32">
        <v>0</v>
      </c>
      <c r="W24" s="32">
        <v>0</v>
      </c>
    </row>
    <row r="25" spans="1:148" ht="15" customHeight="1" x14ac:dyDescent="0.15">
      <c r="A25" s="48"/>
      <c r="B25" s="50" t="s">
        <v>18</v>
      </c>
      <c r="C25" s="87">
        <v>0</v>
      </c>
      <c r="D25" s="88">
        <v>0</v>
      </c>
      <c r="E25" s="72">
        <v>1634</v>
      </c>
      <c r="F25" s="72">
        <v>1343</v>
      </c>
      <c r="G25" s="71">
        <v>1141</v>
      </c>
      <c r="H25" s="72">
        <f>1001+0</f>
        <v>1001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100</v>
      </c>
      <c r="Q25" s="75">
        <v>100</v>
      </c>
      <c r="R25" s="75">
        <v>100</v>
      </c>
      <c r="S25" s="13">
        <v>0</v>
      </c>
      <c r="T25" s="32">
        <v>0</v>
      </c>
      <c r="U25" s="32">
        <v>0</v>
      </c>
      <c r="V25" s="32">
        <v>0</v>
      </c>
      <c r="W25" s="32">
        <v>0</v>
      </c>
    </row>
    <row r="26" spans="1:148" ht="15" customHeight="1" x14ac:dyDescent="0.15">
      <c r="A26" s="48"/>
      <c r="B26" s="50" t="s">
        <v>37</v>
      </c>
      <c r="C26" s="87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75">
        <v>0</v>
      </c>
      <c r="J26" s="75">
        <v>0</v>
      </c>
      <c r="K26" s="75">
        <v>250</v>
      </c>
      <c r="L26" s="75">
        <v>448</v>
      </c>
      <c r="M26" s="75">
        <v>446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13">
        <v>0</v>
      </c>
      <c r="T26" s="32">
        <v>446</v>
      </c>
      <c r="U26" s="32">
        <v>0</v>
      </c>
      <c r="V26" s="32">
        <v>0</v>
      </c>
      <c r="W26" s="32">
        <v>0</v>
      </c>
    </row>
    <row r="27" spans="1:148" ht="15" customHeight="1" x14ac:dyDescent="0.15">
      <c r="A27" s="48"/>
      <c r="B27" s="50" t="s">
        <v>49</v>
      </c>
      <c r="C27" s="87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13">
        <v>0</v>
      </c>
      <c r="T27" s="32">
        <v>0</v>
      </c>
      <c r="U27" s="32">
        <v>0</v>
      </c>
      <c r="V27" s="32">
        <v>0</v>
      </c>
      <c r="W27" s="32">
        <v>0</v>
      </c>
    </row>
    <row r="28" spans="1:148" ht="15" customHeight="1" x14ac:dyDescent="0.15">
      <c r="A28" s="48"/>
      <c r="B28" s="28" t="s">
        <v>64</v>
      </c>
      <c r="C28" s="72">
        <v>15146</v>
      </c>
      <c r="D28" s="72">
        <v>16279</v>
      </c>
      <c r="E28" s="72">
        <v>24273</v>
      </c>
      <c r="F28" s="72">
        <v>8673</v>
      </c>
      <c r="G28" s="71">
        <v>8625</v>
      </c>
      <c r="H28" s="72">
        <f>1911+673</f>
        <v>2584</v>
      </c>
      <c r="I28" s="73">
        <f>209+0</f>
        <v>209</v>
      </c>
      <c r="J28" s="75">
        <v>630</v>
      </c>
      <c r="K28" s="75">
        <v>1034</v>
      </c>
      <c r="L28" s="75">
        <v>127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11">
        <f>209+0</f>
        <v>209</v>
      </c>
      <c r="T28" s="32">
        <v>0</v>
      </c>
      <c r="U28" s="32">
        <v>0</v>
      </c>
      <c r="V28" s="32">
        <v>0</v>
      </c>
      <c r="W28" s="32">
        <v>0</v>
      </c>
    </row>
    <row r="29" spans="1:148" ht="15" customHeight="1" x14ac:dyDescent="0.15">
      <c r="A29" s="48"/>
      <c r="B29" s="12" t="s">
        <v>90</v>
      </c>
      <c r="C29" s="87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13">
        <v>0</v>
      </c>
      <c r="T29" s="32">
        <v>0</v>
      </c>
      <c r="U29" s="32">
        <v>0</v>
      </c>
      <c r="V29" s="32">
        <v>0</v>
      </c>
      <c r="W29" s="32">
        <v>0</v>
      </c>
    </row>
    <row r="30" spans="1:148" ht="6" customHeight="1" x14ac:dyDescent="0.15">
      <c r="A30" s="48"/>
      <c r="B30" s="89"/>
      <c r="C30" s="83"/>
      <c r="D30" s="83"/>
      <c r="E30" s="83"/>
      <c r="F30" s="83"/>
      <c r="G30" s="90"/>
      <c r="H30" s="49"/>
      <c r="I30" s="66"/>
      <c r="J30" s="66"/>
      <c r="K30" s="66"/>
      <c r="L30" s="66"/>
      <c r="M30" s="66"/>
      <c r="N30" s="66"/>
      <c r="O30" s="66"/>
      <c r="P30" s="91"/>
      <c r="Q30" s="91"/>
      <c r="R30" s="91"/>
      <c r="S30" s="8"/>
      <c r="T30" s="8"/>
      <c r="U30" s="22"/>
      <c r="V30" s="22"/>
      <c r="W30" s="22"/>
    </row>
    <row r="31" spans="1:148" ht="6" customHeight="1" x14ac:dyDescent="0.15">
      <c r="A31" s="48"/>
      <c r="B31" s="89"/>
      <c r="C31" s="83"/>
      <c r="D31" s="83"/>
      <c r="E31" s="83"/>
      <c r="F31" s="83"/>
      <c r="G31" s="90"/>
      <c r="H31" s="49"/>
      <c r="I31" s="66"/>
      <c r="J31" s="66"/>
      <c r="K31" s="66"/>
      <c r="L31" s="66"/>
      <c r="M31" s="66"/>
      <c r="N31" s="66"/>
      <c r="O31" s="66"/>
      <c r="P31" s="91"/>
      <c r="Q31" s="91"/>
      <c r="R31" s="91"/>
    </row>
    <row r="32" spans="1:148" ht="15" customHeight="1" x14ac:dyDescent="0.15">
      <c r="A32" s="48"/>
      <c r="B32" s="89"/>
      <c r="C32" s="83"/>
      <c r="D32" s="83"/>
      <c r="E32" s="83"/>
      <c r="F32" s="83"/>
      <c r="G32" s="90"/>
      <c r="H32" s="49"/>
      <c r="I32" s="66"/>
      <c r="J32" s="66"/>
      <c r="K32" s="66"/>
      <c r="L32" s="66"/>
      <c r="M32" s="66"/>
      <c r="N32" s="66"/>
      <c r="O32" s="66"/>
      <c r="P32" s="91"/>
      <c r="Q32" s="91"/>
      <c r="R32" s="91"/>
    </row>
    <row r="33" spans="1:23" ht="15.95" customHeight="1" x14ac:dyDescent="0.15">
      <c r="A33" s="48"/>
      <c r="B33" s="68" t="s">
        <v>38</v>
      </c>
      <c r="C33" s="65">
        <f>1703608+1398743</f>
        <v>3102351</v>
      </c>
      <c r="D33" s="65">
        <f>1675864+255728</f>
        <v>1931592</v>
      </c>
      <c r="E33" s="65">
        <f>1358944+203907</f>
        <v>1562851</v>
      </c>
      <c r="F33" s="65">
        <f>1053305+160307</f>
        <v>1213612</v>
      </c>
      <c r="G33" s="64">
        <f>1021491+112540</f>
        <v>1134031</v>
      </c>
      <c r="H33" s="64">
        <f>1209181+66844</f>
        <v>1276025</v>
      </c>
      <c r="I33" s="66">
        <f>1056788+186641</f>
        <v>1243429</v>
      </c>
      <c r="J33" s="66">
        <f>1181211+287471</f>
        <v>1468682</v>
      </c>
      <c r="K33" s="66">
        <f>1221270+250792</f>
        <v>1472062</v>
      </c>
      <c r="L33" s="66">
        <f>1303026+241888</f>
        <v>1544914</v>
      </c>
      <c r="M33" s="66">
        <f>1535908+209371</f>
        <v>1745279</v>
      </c>
      <c r="N33" s="66">
        <f>1733083+6014</f>
        <v>1739097</v>
      </c>
      <c r="O33" s="66">
        <f>2028163+5814</f>
        <v>2033977</v>
      </c>
      <c r="P33" s="66">
        <f>SUM(P34:P36)</f>
        <v>785323</v>
      </c>
      <c r="Q33" s="66">
        <f>2558346+505738</f>
        <v>3064084</v>
      </c>
      <c r="R33" s="66">
        <f>3031997+505717</f>
        <v>3537714</v>
      </c>
      <c r="S33" s="8">
        <f>1056788+186641</f>
        <v>1243429</v>
      </c>
      <c r="T33" s="19">
        <f>1535908+209371</f>
        <v>1745279</v>
      </c>
      <c r="U33" s="19">
        <f>2558346+505738</f>
        <v>3064084</v>
      </c>
      <c r="V33" s="19">
        <f t="shared" ref="V33" si="3">SUM(V34:V38)</f>
        <v>3990758</v>
      </c>
      <c r="W33" s="19">
        <f t="shared" ref="W33" si="4">SUM(W34:W38)</f>
        <v>2898489</v>
      </c>
    </row>
    <row r="34" spans="1:23" ht="15" customHeight="1" x14ac:dyDescent="0.15">
      <c r="A34" s="48"/>
      <c r="B34" s="80" t="s">
        <v>20</v>
      </c>
      <c r="C34" s="92" t="s">
        <v>22</v>
      </c>
      <c r="D34" s="92" t="s">
        <v>22</v>
      </c>
      <c r="E34" s="92" t="s">
        <v>22</v>
      </c>
      <c r="F34" s="92" t="s">
        <v>22</v>
      </c>
      <c r="G34" s="74">
        <v>0</v>
      </c>
      <c r="H34" s="71">
        <f>90000+0</f>
        <v>90000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3">
        <v>305638</v>
      </c>
      <c r="Q34" s="73">
        <f>288329</f>
        <v>288329</v>
      </c>
      <c r="R34" s="73">
        <f>303781+0</f>
        <v>303781</v>
      </c>
      <c r="S34" s="13">
        <v>0</v>
      </c>
      <c r="T34" s="32">
        <v>0</v>
      </c>
      <c r="U34" s="32">
        <f>288329</f>
        <v>288329</v>
      </c>
      <c r="V34" s="32">
        <v>290947</v>
      </c>
      <c r="W34" s="32">
        <v>315974</v>
      </c>
    </row>
    <row r="35" spans="1:23" ht="15" customHeight="1" x14ac:dyDescent="0.15">
      <c r="A35" s="48"/>
      <c r="B35" s="28" t="s">
        <v>47</v>
      </c>
      <c r="C35" s="92" t="s">
        <v>22</v>
      </c>
      <c r="D35" s="92" t="s">
        <v>22</v>
      </c>
      <c r="E35" s="92" t="s">
        <v>22</v>
      </c>
      <c r="F35" s="92" t="s">
        <v>22</v>
      </c>
      <c r="G35" s="74">
        <v>309018</v>
      </c>
      <c r="H35" s="72">
        <f>351965+4662</f>
        <v>356627</v>
      </c>
      <c r="I35" s="73">
        <f>315027+9340</f>
        <v>324367</v>
      </c>
      <c r="J35" s="73">
        <f>331865+73242</f>
        <v>405107</v>
      </c>
      <c r="K35" s="73">
        <f>355148+204590</f>
        <v>559738</v>
      </c>
      <c r="L35" s="73">
        <f>351372+102888</f>
        <v>454260</v>
      </c>
      <c r="M35" s="73">
        <f>392332+168939</f>
        <v>561271</v>
      </c>
      <c r="N35" s="73">
        <f>393276+0</f>
        <v>393276</v>
      </c>
      <c r="O35" s="73">
        <v>400707</v>
      </c>
      <c r="P35" s="73">
        <v>368213</v>
      </c>
      <c r="Q35" s="73">
        <v>586604</v>
      </c>
      <c r="R35" s="73">
        <f>612133+0</f>
        <v>612133</v>
      </c>
      <c r="S35" s="11">
        <f>315027+9340</f>
        <v>324367</v>
      </c>
      <c r="T35" s="32">
        <f>392332+168939</f>
        <v>561271</v>
      </c>
      <c r="U35" s="32">
        <v>586604</v>
      </c>
      <c r="V35" s="32">
        <v>714906</v>
      </c>
      <c r="W35" s="32">
        <v>556527</v>
      </c>
    </row>
    <row r="36" spans="1:23" ht="15" customHeight="1" x14ac:dyDescent="0.15">
      <c r="A36" s="48"/>
      <c r="B36" s="28" t="s">
        <v>64</v>
      </c>
      <c r="C36" s="92" t="s">
        <v>22</v>
      </c>
      <c r="D36" s="92" t="s">
        <v>22</v>
      </c>
      <c r="E36" s="92" t="s">
        <v>22</v>
      </c>
      <c r="F36" s="92" t="s">
        <v>22</v>
      </c>
      <c r="G36" s="72">
        <f>112540+334136</f>
        <v>446676</v>
      </c>
      <c r="H36" s="72">
        <f>100536+7714</f>
        <v>108250</v>
      </c>
      <c r="I36" s="73">
        <f>145668+36396</f>
        <v>182064</v>
      </c>
      <c r="J36" s="73">
        <f>40815+5684</f>
        <v>46499</v>
      </c>
      <c r="K36" s="73">
        <f>42685</f>
        <v>42685</v>
      </c>
      <c r="L36" s="73">
        <f>89955+131</f>
        <v>90086</v>
      </c>
      <c r="M36" s="73">
        <v>99251</v>
      </c>
      <c r="N36" s="73">
        <v>110132</v>
      </c>
      <c r="O36" s="73">
        <v>97895</v>
      </c>
      <c r="P36" s="73">
        <v>111472</v>
      </c>
      <c r="Q36" s="73">
        <v>64666</v>
      </c>
      <c r="R36" s="73">
        <f>150954+0</f>
        <v>150954</v>
      </c>
      <c r="S36" s="11">
        <f>145668+36396</f>
        <v>182064</v>
      </c>
      <c r="T36" s="32">
        <v>99251</v>
      </c>
      <c r="U36" s="32">
        <v>64666</v>
      </c>
      <c r="V36" s="32">
        <v>34195</v>
      </c>
      <c r="W36" s="32">
        <v>57020</v>
      </c>
    </row>
    <row r="37" spans="1:23" s="50" customFormat="1" ht="15" customHeight="1" x14ac:dyDescent="0.15">
      <c r="A37" s="48"/>
      <c r="B37" s="70" t="s">
        <v>81</v>
      </c>
      <c r="C37" s="81" t="s">
        <v>22</v>
      </c>
      <c r="D37" s="81" t="s">
        <v>22</v>
      </c>
      <c r="E37" s="81" t="s">
        <v>22</v>
      </c>
      <c r="F37" s="81" t="s">
        <v>22</v>
      </c>
      <c r="G37" s="81">
        <v>0</v>
      </c>
      <c r="H37" s="81">
        <v>0</v>
      </c>
      <c r="I37" s="50">
        <v>0</v>
      </c>
      <c r="J37" s="93">
        <f>81344+10700</f>
        <v>92044</v>
      </c>
      <c r="K37" s="93">
        <f>90364+21530</f>
        <v>111894</v>
      </c>
      <c r="L37" s="93">
        <f>90831+22508</f>
        <v>113339</v>
      </c>
      <c r="M37" s="93">
        <f>96163+18618</f>
        <v>114781</v>
      </c>
      <c r="N37" s="93">
        <v>96144</v>
      </c>
      <c r="O37" s="93">
        <v>94810</v>
      </c>
      <c r="P37" s="93">
        <v>95660</v>
      </c>
      <c r="Q37" s="93">
        <v>126636</v>
      </c>
      <c r="R37" s="93">
        <f>211179+0</f>
        <v>211179</v>
      </c>
      <c r="S37" s="24">
        <f>75003+275</f>
        <v>75278</v>
      </c>
      <c r="T37" s="32">
        <f>96163+18618</f>
        <v>114781</v>
      </c>
      <c r="U37" s="32">
        <v>126636</v>
      </c>
      <c r="V37" s="32">
        <v>164362</v>
      </c>
      <c r="W37" s="32">
        <v>157842</v>
      </c>
    </row>
    <row r="38" spans="1:23" s="50" customFormat="1" ht="15" customHeight="1" x14ac:dyDescent="0.15">
      <c r="A38" s="48"/>
      <c r="B38" s="12" t="s">
        <v>91</v>
      </c>
      <c r="C38" s="81" t="s">
        <v>22</v>
      </c>
      <c r="D38" s="81" t="s">
        <v>22</v>
      </c>
      <c r="E38" s="81" t="s">
        <v>22</v>
      </c>
      <c r="F38" s="81" t="s">
        <v>22</v>
      </c>
      <c r="G38" s="81">
        <v>378337</v>
      </c>
      <c r="H38" s="81">
        <v>721148</v>
      </c>
      <c r="I38" s="50">
        <v>0</v>
      </c>
      <c r="J38" s="93">
        <f>727187+197845</f>
        <v>925032</v>
      </c>
      <c r="K38" s="93">
        <f>733073+24672</f>
        <v>757745</v>
      </c>
      <c r="L38" s="93">
        <f>770868+116361</f>
        <v>887229</v>
      </c>
      <c r="M38" s="93">
        <f>948162+21814</f>
        <v>969976</v>
      </c>
      <c r="N38" s="93">
        <f>1133531+6014</f>
        <v>1139545</v>
      </c>
      <c r="O38" s="93">
        <f>1434751+5814</f>
        <v>1440565</v>
      </c>
      <c r="P38" s="93">
        <f>1515130</f>
        <v>1515130</v>
      </c>
      <c r="Q38" s="93">
        <f>1492111+505738</f>
        <v>1997849</v>
      </c>
      <c r="R38" s="93">
        <f>1753950+505717</f>
        <v>2259667</v>
      </c>
      <c r="S38" s="24">
        <f>521090+140630</f>
        <v>661720</v>
      </c>
      <c r="T38" s="32">
        <f>948162+21814</f>
        <v>969976</v>
      </c>
      <c r="U38" s="32">
        <f>1492111+505738</f>
        <v>1997849</v>
      </c>
      <c r="V38" s="32">
        <f>1005337+1781011</f>
        <v>2786348</v>
      </c>
      <c r="W38" s="32">
        <f>5050+1806076</f>
        <v>1811126</v>
      </c>
    </row>
    <row r="39" spans="1:23" ht="12" customHeight="1" x14ac:dyDescent="0.15">
      <c r="A39" s="48"/>
      <c r="B39" s="94"/>
      <c r="C39" s="95"/>
      <c r="D39" s="95"/>
      <c r="E39" s="95"/>
      <c r="F39" s="95"/>
      <c r="G39" s="49"/>
      <c r="H39" s="49"/>
      <c r="I39" s="75"/>
      <c r="J39" s="75"/>
      <c r="K39" s="75"/>
      <c r="L39" s="75"/>
      <c r="M39" s="75"/>
      <c r="N39" s="75"/>
      <c r="O39" s="75"/>
      <c r="P39" s="85"/>
      <c r="Q39" s="85"/>
      <c r="R39" s="85"/>
      <c r="S39" s="13"/>
      <c r="T39" s="13"/>
      <c r="U39" s="19"/>
      <c r="V39" s="19"/>
      <c r="W39" s="19"/>
    </row>
    <row r="40" spans="1:23" ht="15.95" customHeight="1" x14ac:dyDescent="0.15">
      <c r="A40" s="84">
        <v>3</v>
      </c>
      <c r="B40" s="62" t="s">
        <v>43</v>
      </c>
      <c r="C40" s="96">
        <v>0</v>
      </c>
      <c r="D40" s="96">
        <v>0</v>
      </c>
      <c r="E40" s="96">
        <v>0</v>
      </c>
      <c r="F40" s="64">
        <f>82143+100288</f>
        <v>182431</v>
      </c>
      <c r="G40" s="64">
        <f>106389+5224</f>
        <v>111613</v>
      </c>
      <c r="H40" s="64">
        <f>101597+9833</f>
        <v>111430</v>
      </c>
      <c r="I40" s="66">
        <f>104821+16163</f>
        <v>120984</v>
      </c>
      <c r="J40" s="66">
        <f>104996+16043</f>
        <v>121039</v>
      </c>
      <c r="K40" s="66">
        <f>106999+15863</f>
        <v>122862</v>
      </c>
      <c r="L40" s="66">
        <f>106692+4912</f>
        <v>111604</v>
      </c>
      <c r="M40" s="66">
        <f>88782+4664</f>
        <v>93446</v>
      </c>
      <c r="N40" s="66">
        <f>88673+4232</f>
        <v>92905</v>
      </c>
      <c r="O40" s="66">
        <f>88623+4232</f>
        <v>92855</v>
      </c>
      <c r="P40" s="66">
        <v>397533</v>
      </c>
      <c r="Q40" s="66">
        <f>83621+4232</f>
        <v>87853</v>
      </c>
      <c r="R40" s="66">
        <f>83620+4232</f>
        <v>87852</v>
      </c>
      <c r="S40" s="8">
        <f>104821+16163</f>
        <v>120984</v>
      </c>
      <c r="T40" s="19">
        <f>88782+4664</f>
        <v>93446</v>
      </c>
      <c r="U40" s="19">
        <f>83621+4232</f>
        <v>87853</v>
      </c>
      <c r="V40" s="19">
        <f>+V41+V48</f>
        <v>288010</v>
      </c>
      <c r="W40" s="19">
        <f>117464+88264</f>
        <v>205728</v>
      </c>
    </row>
    <row r="41" spans="1:23" ht="15.95" customHeight="1" x14ac:dyDescent="0.15">
      <c r="A41" s="48"/>
      <c r="B41" s="62" t="s">
        <v>36</v>
      </c>
      <c r="C41" s="97" t="s">
        <v>22</v>
      </c>
      <c r="D41" s="97" t="s">
        <v>22</v>
      </c>
      <c r="E41" s="97" t="s">
        <v>22</v>
      </c>
      <c r="F41" s="64">
        <f>597+4533</f>
        <v>5130</v>
      </c>
      <c r="G41" s="64">
        <f>23113+4533</f>
        <v>27646</v>
      </c>
      <c r="H41" s="64">
        <f>23974+4533</f>
        <v>28507</v>
      </c>
      <c r="I41" s="66">
        <f>27198+4872</f>
        <v>32070</v>
      </c>
      <c r="J41" s="66">
        <f>27316+4744</f>
        <v>32060</v>
      </c>
      <c r="K41" s="66">
        <f>29376+4871</f>
        <v>34247</v>
      </c>
      <c r="L41" s="66">
        <f>29010+4912</f>
        <v>33922</v>
      </c>
      <c r="M41" s="66">
        <f>11099+4543</f>
        <v>15642</v>
      </c>
      <c r="N41" s="66">
        <f>11050+4232</f>
        <v>15282</v>
      </c>
      <c r="O41" s="66">
        <f>11000+4232</f>
        <v>15232</v>
      </c>
      <c r="P41" s="66">
        <v>14281</v>
      </c>
      <c r="Q41" s="66">
        <f>5998+4232</f>
        <v>10230</v>
      </c>
      <c r="R41" s="66">
        <f>5941+4232</f>
        <v>10173</v>
      </c>
      <c r="S41" s="8">
        <f>27198+4872</f>
        <v>32070</v>
      </c>
      <c r="T41" s="19">
        <f>11099+4543</f>
        <v>15642</v>
      </c>
      <c r="U41" s="19">
        <f>5998+4232</f>
        <v>10230</v>
      </c>
      <c r="V41" s="19">
        <f t="shared" ref="V41" si="5">SUM(V42:V46)</f>
        <v>180979</v>
      </c>
      <c r="W41" s="19">
        <f t="shared" ref="W41" si="6">SUM(W42:W46)</f>
        <v>20650</v>
      </c>
    </row>
    <row r="42" spans="1:23" ht="15" customHeight="1" x14ac:dyDescent="0.15">
      <c r="A42" s="48"/>
      <c r="B42" s="50" t="s">
        <v>18</v>
      </c>
      <c r="C42" s="74" t="s">
        <v>22</v>
      </c>
      <c r="D42" s="74" t="s">
        <v>22</v>
      </c>
      <c r="E42" s="74" t="s">
        <v>22</v>
      </c>
      <c r="F42" s="74">
        <v>73</v>
      </c>
      <c r="G42" s="88">
        <v>0</v>
      </c>
      <c r="H42" s="88">
        <v>0</v>
      </c>
      <c r="I42" s="75">
        <v>0</v>
      </c>
      <c r="J42" s="75">
        <v>0</v>
      </c>
      <c r="K42" s="75">
        <v>0</v>
      </c>
      <c r="L42" s="75">
        <v>0</v>
      </c>
      <c r="M42" s="75">
        <v>168</v>
      </c>
      <c r="N42" s="75">
        <v>0</v>
      </c>
      <c r="O42" s="75">
        <v>0</v>
      </c>
      <c r="P42" s="75">
        <v>0</v>
      </c>
      <c r="Q42" s="75">
        <v>0</v>
      </c>
      <c r="R42" s="75">
        <f>0+0</f>
        <v>0</v>
      </c>
      <c r="S42" s="13">
        <v>0</v>
      </c>
      <c r="T42" s="32">
        <v>168</v>
      </c>
      <c r="U42" s="32">
        <v>0</v>
      </c>
      <c r="V42" s="32">
        <v>0</v>
      </c>
      <c r="W42" s="32">
        <v>0</v>
      </c>
    </row>
    <row r="43" spans="1:23" ht="15" customHeight="1" x14ac:dyDescent="0.15">
      <c r="A43" s="48"/>
      <c r="B43" s="50" t="s">
        <v>37</v>
      </c>
      <c r="C43" s="74" t="s">
        <v>22</v>
      </c>
      <c r="D43" s="74" t="s">
        <v>22</v>
      </c>
      <c r="E43" s="74" t="s">
        <v>22</v>
      </c>
      <c r="F43" s="74">
        <v>0</v>
      </c>
      <c r="G43" s="88">
        <v>0</v>
      </c>
      <c r="H43" s="88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f>0+0</f>
        <v>0</v>
      </c>
      <c r="S43" s="13">
        <v>0</v>
      </c>
      <c r="T43" s="32">
        <v>0</v>
      </c>
      <c r="U43" s="32">
        <v>0</v>
      </c>
      <c r="V43" s="32">
        <v>0</v>
      </c>
      <c r="W43" s="32">
        <v>0</v>
      </c>
    </row>
    <row r="44" spans="1:23" ht="15" customHeight="1" x14ac:dyDescent="0.15">
      <c r="A44" s="48"/>
      <c r="B44" s="50" t="s">
        <v>49</v>
      </c>
      <c r="C44" s="74" t="s">
        <v>22</v>
      </c>
      <c r="D44" s="74" t="s">
        <v>22</v>
      </c>
      <c r="E44" s="74" t="s">
        <v>22</v>
      </c>
      <c r="F44" s="74">
        <v>524</v>
      </c>
      <c r="G44" s="88">
        <v>0</v>
      </c>
      <c r="H44" s="88">
        <v>0</v>
      </c>
      <c r="I44" s="73">
        <v>13832</v>
      </c>
      <c r="J44" s="73">
        <v>18753</v>
      </c>
      <c r="K44" s="73">
        <f>12832</f>
        <v>12832</v>
      </c>
      <c r="L44" s="73">
        <f>13832+4912</f>
        <v>18744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f>0+0</f>
        <v>0</v>
      </c>
      <c r="S44" s="11">
        <v>13832</v>
      </c>
      <c r="T44" s="32">
        <v>0</v>
      </c>
      <c r="U44" s="32">
        <v>0</v>
      </c>
      <c r="V44" s="32">
        <v>0</v>
      </c>
      <c r="W44" s="32">
        <v>0</v>
      </c>
    </row>
    <row r="45" spans="1:23" ht="15" customHeight="1" x14ac:dyDescent="0.15">
      <c r="A45" s="48"/>
      <c r="B45" s="28" t="s">
        <v>64</v>
      </c>
      <c r="C45" s="74" t="s">
        <v>22</v>
      </c>
      <c r="D45" s="74" t="s">
        <v>22</v>
      </c>
      <c r="E45" s="74" t="s">
        <v>22</v>
      </c>
      <c r="F45" s="74">
        <v>4533</v>
      </c>
      <c r="G45" s="98">
        <f>23113+4533</f>
        <v>27646</v>
      </c>
      <c r="H45" s="72">
        <f>23974+4533</f>
        <v>28507</v>
      </c>
      <c r="I45" s="73">
        <f>13366+4872</f>
        <v>18238</v>
      </c>
      <c r="J45" s="73">
        <f>8563+4744</f>
        <v>13307</v>
      </c>
      <c r="K45" s="73">
        <f>15544+4871</f>
        <v>20415</v>
      </c>
      <c r="L45" s="73">
        <v>15178</v>
      </c>
      <c r="M45" s="73">
        <f>11099+4375</f>
        <v>15474</v>
      </c>
      <c r="N45" s="73">
        <f>11050+4232</f>
        <v>15282</v>
      </c>
      <c r="O45" s="73">
        <f>11000+4232</f>
        <v>15232</v>
      </c>
      <c r="P45" s="75">
        <v>14281</v>
      </c>
      <c r="Q45" s="75">
        <f>5998+4232</f>
        <v>10230</v>
      </c>
      <c r="R45" s="75">
        <f>5941+4232</f>
        <v>10173</v>
      </c>
      <c r="S45" s="11">
        <f>13366+4872</f>
        <v>18238</v>
      </c>
      <c r="T45" s="32">
        <f>11099+4375</f>
        <v>15474</v>
      </c>
      <c r="U45" s="32">
        <f>5998+4232</f>
        <v>10230</v>
      </c>
      <c r="V45" s="32">
        <f>170587+10292</f>
        <v>180879</v>
      </c>
      <c r="W45" s="32">
        <f>10060+10490</f>
        <v>20550</v>
      </c>
    </row>
    <row r="46" spans="1:23" ht="15" customHeight="1" x14ac:dyDescent="0.15">
      <c r="A46" s="48"/>
      <c r="B46" s="12" t="s">
        <v>86</v>
      </c>
      <c r="C46" s="87" t="s">
        <v>22</v>
      </c>
      <c r="D46" s="88" t="s">
        <v>22</v>
      </c>
      <c r="E46" s="88" t="s">
        <v>22</v>
      </c>
      <c r="F46" s="88">
        <v>0</v>
      </c>
      <c r="G46" s="88">
        <v>0</v>
      </c>
      <c r="H46" s="88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13">
        <v>0</v>
      </c>
      <c r="T46" s="32">
        <v>0</v>
      </c>
      <c r="U46" s="32">
        <v>100</v>
      </c>
      <c r="V46" s="32">
        <v>100</v>
      </c>
      <c r="W46" s="32">
        <v>100</v>
      </c>
    </row>
    <row r="47" spans="1:23" ht="6" customHeight="1" x14ac:dyDescent="0.15">
      <c r="A47" s="48"/>
      <c r="B47" s="77"/>
      <c r="C47" s="78"/>
      <c r="D47" s="83"/>
      <c r="E47" s="83"/>
      <c r="F47" s="83"/>
      <c r="G47" s="83"/>
      <c r="H47" s="83"/>
      <c r="I47" s="89"/>
      <c r="J47" s="89"/>
      <c r="K47" s="89"/>
      <c r="L47" s="89"/>
      <c r="M47" s="89"/>
      <c r="N47" s="89"/>
      <c r="O47" s="89"/>
      <c r="P47" s="85"/>
      <c r="Q47" s="85"/>
      <c r="R47" s="85"/>
      <c r="S47" s="27"/>
      <c r="T47" s="27"/>
      <c r="U47" s="19"/>
      <c r="V47" s="19"/>
      <c r="W47" s="19"/>
    </row>
    <row r="48" spans="1:23" ht="18" customHeight="1" x14ac:dyDescent="0.15">
      <c r="A48" s="48"/>
      <c r="B48" s="62" t="s">
        <v>38</v>
      </c>
      <c r="C48" s="97" t="s">
        <v>22</v>
      </c>
      <c r="D48" s="97" t="s">
        <v>22</v>
      </c>
      <c r="E48" s="97" t="s">
        <v>22</v>
      </c>
      <c r="F48" s="64">
        <f>81546+95755</f>
        <v>177301</v>
      </c>
      <c r="G48" s="64">
        <f>83278+691</f>
        <v>83969</v>
      </c>
      <c r="H48" s="64">
        <f>77623+5300</f>
        <v>82923</v>
      </c>
      <c r="I48" s="66">
        <f>77623+11291</f>
        <v>88914</v>
      </c>
      <c r="J48" s="66">
        <f>77680+11299</f>
        <v>88979</v>
      </c>
      <c r="K48" s="66">
        <f>77623+10992</f>
        <v>88615</v>
      </c>
      <c r="L48" s="66">
        <v>77682</v>
      </c>
      <c r="M48" s="66">
        <f>77683+121</f>
        <v>77804</v>
      </c>
      <c r="N48" s="66">
        <f>77623</f>
        <v>77623</v>
      </c>
      <c r="O48" s="66">
        <v>77623</v>
      </c>
      <c r="P48" s="66">
        <v>77623</v>
      </c>
      <c r="Q48" s="66">
        <f>77623</f>
        <v>77623</v>
      </c>
      <c r="R48" s="66">
        <v>77679</v>
      </c>
      <c r="S48" s="8">
        <f>77623+11291</f>
        <v>88914</v>
      </c>
      <c r="T48" s="19">
        <f>77683+121</f>
        <v>77804</v>
      </c>
      <c r="U48" s="19">
        <f>77623</f>
        <v>77623</v>
      </c>
      <c r="V48" s="19">
        <f t="shared" ref="V48" si="7">+V49+V50+V51+V52+V53</f>
        <v>107031</v>
      </c>
      <c r="W48" s="19">
        <f t="shared" ref="W48" si="8">+W49+W50+W51+W52+W53</f>
        <v>185078</v>
      </c>
    </row>
    <row r="49" spans="1:148" ht="15" customHeight="1" x14ac:dyDescent="0.15">
      <c r="A49" s="48"/>
      <c r="B49" s="80" t="s">
        <v>20</v>
      </c>
      <c r="C49" s="92" t="s">
        <v>22</v>
      </c>
      <c r="D49" s="92" t="s">
        <v>22</v>
      </c>
      <c r="E49" s="92" t="s">
        <v>22</v>
      </c>
      <c r="F49" s="71">
        <f>78204+95000</f>
        <v>173204</v>
      </c>
      <c r="G49" s="98">
        <v>77654</v>
      </c>
      <c r="H49" s="72">
        <v>77623</v>
      </c>
      <c r="I49" s="73">
        <f>77623+0</f>
        <v>77623</v>
      </c>
      <c r="J49" s="73">
        <f>77623+0</f>
        <v>77623</v>
      </c>
      <c r="K49" s="73">
        <f>77623</f>
        <v>77623</v>
      </c>
      <c r="L49" s="73">
        <v>77623</v>
      </c>
      <c r="M49" s="73">
        <v>77623</v>
      </c>
      <c r="N49" s="73">
        <v>77623</v>
      </c>
      <c r="O49" s="73">
        <v>77623</v>
      </c>
      <c r="P49" s="75">
        <v>77623</v>
      </c>
      <c r="Q49" s="75">
        <v>77623</v>
      </c>
      <c r="R49" s="75">
        <v>77623</v>
      </c>
      <c r="S49" s="11">
        <f>77623+0</f>
        <v>77623</v>
      </c>
      <c r="T49" s="32">
        <v>77623</v>
      </c>
      <c r="U49" s="32">
        <v>77623</v>
      </c>
      <c r="V49" s="32">
        <f>77623+28872</f>
        <v>106495</v>
      </c>
      <c r="W49" s="32">
        <f>49623+77623</f>
        <v>127246</v>
      </c>
    </row>
    <row r="50" spans="1:148" ht="15" customHeight="1" x14ac:dyDescent="0.15">
      <c r="A50" s="48"/>
      <c r="B50" s="28" t="s">
        <v>47</v>
      </c>
      <c r="C50" s="92" t="s">
        <v>22</v>
      </c>
      <c r="D50" s="92" t="s">
        <v>22</v>
      </c>
      <c r="E50" s="92" t="s">
        <v>22</v>
      </c>
      <c r="F50" s="74">
        <v>0</v>
      </c>
      <c r="G50" s="74">
        <v>0</v>
      </c>
      <c r="H50" s="99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13">
        <v>0</v>
      </c>
      <c r="T50" s="32">
        <v>0</v>
      </c>
      <c r="U50" s="32">
        <v>0</v>
      </c>
      <c r="V50" s="32">
        <v>0</v>
      </c>
      <c r="W50" s="32">
        <v>57781</v>
      </c>
    </row>
    <row r="51" spans="1:148" ht="15" customHeight="1" x14ac:dyDescent="0.15">
      <c r="A51" s="48"/>
      <c r="B51" s="28" t="s">
        <v>64</v>
      </c>
      <c r="C51" s="92" t="s">
        <v>22</v>
      </c>
      <c r="D51" s="92" t="s">
        <v>22</v>
      </c>
      <c r="E51" s="92" t="s">
        <v>22</v>
      </c>
      <c r="F51" s="71">
        <f>3342+755</f>
        <v>4097</v>
      </c>
      <c r="G51" s="98">
        <v>6315</v>
      </c>
      <c r="H51" s="72">
        <v>5086</v>
      </c>
      <c r="I51" s="75">
        <v>0</v>
      </c>
      <c r="J51" s="75">
        <v>57</v>
      </c>
      <c r="K51" s="75">
        <v>137</v>
      </c>
      <c r="L51" s="75">
        <v>59</v>
      </c>
      <c r="M51" s="75">
        <f>60+121</f>
        <v>181</v>
      </c>
      <c r="N51" s="75">
        <v>0</v>
      </c>
      <c r="O51" s="75">
        <v>0</v>
      </c>
      <c r="P51" s="75">
        <v>0</v>
      </c>
      <c r="Q51" s="75">
        <v>0</v>
      </c>
      <c r="R51" s="75">
        <v>56</v>
      </c>
      <c r="S51" s="13">
        <v>0</v>
      </c>
      <c r="T51" s="32">
        <f>60+121</f>
        <v>181</v>
      </c>
      <c r="U51" s="32">
        <v>0</v>
      </c>
      <c r="V51" s="32">
        <v>54</v>
      </c>
      <c r="W51" s="32">
        <v>51</v>
      </c>
    </row>
    <row r="52" spans="1:148" ht="15" customHeight="1" x14ac:dyDescent="0.15">
      <c r="A52" s="48"/>
      <c r="B52" s="28" t="s">
        <v>81</v>
      </c>
      <c r="C52" s="92" t="s">
        <v>22</v>
      </c>
      <c r="D52" s="92" t="s">
        <v>22</v>
      </c>
      <c r="E52" s="92" t="s">
        <v>22</v>
      </c>
      <c r="F52" s="92" t="s">
        <v>22</v>
      </c>
      <c r="G52" s="88">
        <v>0</v>
      </c>
      <c r="H52" s="88">
        <v>214</v>
      </c>
      <c r="I52" s="93">
        <v>11291</v>
      </c>
      <c r="J52" s="93">
        <v>11299</v>
      </c>
      <c r="K52" s="93">
        <v>10855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24">
        <v>11291</v>
      </c>
      <c r="T52" s="32">
        <v>0</v>
      </c>
      <c r="U52" s="32">
        <v>0</v>
      </c>
      <c r="V52" s="32">
        <v>0</v>
      </c>
      <c r="W52" s="32">
        <v>0</v>
      </c>
    </row>
    <row r="53" spans="1:148" ht="15" customHeight="1" x14ac:dyDescent="0.15">
      <c r="A53" s="48"/>
      <c r="B53" s="28" t="s">
        <v>87</v>
      </c>
      <c r="C53" s="92" t="s">
        <v>22</v>
      </c>
      <c r="D53" s="92" t="s">
        <v>22</v>
      </c>
      <c r="E53" s="92" t="s">
        <v>22</v>
      </c>
      <c r="F53" s="92" t="s">
        <v>22</v>
      </c>
      <c r="G53" s="88">
        <v>0</v>
      </c>
      <c r="H53" s="88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17">
        <v>0</v>
      </c>
      <c r="T53" s="32">
        <v>0</v>
      </c>
      <c r="U53" s="32">
        <v>0</v>
      </c>
      <c r="V53" s="32">
        <v>482</v>
      </c>
      <c r="W53" s="32">
        <v>0</v>
      </c>
    </row>
    <row r="54" spans="1:148" ht="12" customHeight="1" x14ac:dyDescent="0.15">
      <c r="A54" s="48"/>
      <c r="B54" s="28"/>
      <c r="C54" s="100"/>
      <c r="D54" s="100"/>
      <c r="E54" s="100"/>
      <c r="F54" s="101"/>
      <c r="G54" s="101"/>
      <c r="H54" s="102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8"/>
      <c r="T54" s="8"/>
      <c r="U54" s="8"/>
      <c r="V54" s="8"/>
      <c r="W54" s="8"/>
    </row>
    <row r="55" spans="1:148" ht="15" customHeight="1" x14ac:dyDescent="0.15">
      <c r="A55" s="84">
        <v>4</v>
      </c>
      <c r="B55" s="62" t="s">
        <v>16</v>
      </c>
      <c r="C55" s="65">
        <f>4409283+6639401</f>
        <v>11048684</v>
      </c>
      <c r="D55" s="65">
        <f>5178313+5864475</f>
        <v>11042788</v>
      </c>
      <c r="E55" s="65">
        <f>5248352+3779601</f>
        <v>9027953</v>
      </c>
      <c r="F55" s="65">
        <f>5346919+4295398</f>
        <v>9642317</v>
      </c>
      <c r="G55" s="64">
        <f>5548393+1884052</f>
        <v>7432445</v>
      </c>
      <c r="H55" s="64">
        <f>5189320+1900941</f>
        <v>7090261</v>
      </c>
      <c r="I55" s="66">
        <f>4807174+2085848-160193-40511</f>
        <v>6692318</v>
      </c>
      <c r="J55" s="66">
        <f>4798812+1838615-178014</f>
        <v>6459413</v>
      </c>
      <c r="K55" s="66">
        <f>4831726+1966200-167590-758</f>
        <v>6629578</v>
      </c>
      <c r="L55" s="66">
        <f>4779348+2021341-173400</f>
        <v>6627289</v>
      </c>
      <c r="M55" s="66">
        <f>4825999+2672645-183876</f>
        <v>7314768</v>
      </c>
      <c r="N55" s="66">
        <f>4478211+2938944</f>
        <v>7417155</v>
      </c>
      <c r="O55" s="66">
        <f>4520327+3349012</f>
        <v>7869339</v>
      </c>
      <c r="P55" s="66">
        <v>10256085</v>
      </c>
      <c r="Q55" s="66">
        <f>7113816+4748973</f>
        <v>11862789</v>
      </c>
      <c r="R55" s="66">
        <f>7156408+4835997</f>
        <v>11992405</v>
      </c>
      <c r="S55" s="8">
        <f>4807174+2085848-160193-40511</f>
        <v>6692318</v>
      </c>
      <c r="T55" s="19">
        <f>4825999+2672645-183876</f>
        <v>7314768</v>
      </c>
      <c r="U55" s="19">
        <f>7113816+4748973</f>
        <v>11862789</v>
      </c>
      <c r="V55" s="19">
        <f>4312008+6883426</f>
        <v>11195434</v>
      </c>
      <c r="W55" s="19">
        <f t="shared" ref="W55" si="9">+W56+W80</f>
        <v>10524686</v>
      </c>
    </row>
    <row r="56" spans="1:148" ht="15" customHeight="1" x14ac:dyDescent="0.15">
      <c r="A56" s="48"/>
      <c r="B56" s="62" t="s">
        <v>36</v>
      </c>
      <c r="C56" s="69">
        <f>2708426+286784</f>
        <v>2995210</v>
      </c>
      <c r="D56" s="69">
        <f>3315759+467605</f>
        <v>3783364</v>
      </c>
      <c r="E56" s="69">
        <f>3404185+57711</f>
        <v>3461896</v>
      </c>
      <c r="F56" s="69">
        <f>3609766+170820</f>
        <v>3780586</v>
      </c>
      <c r="G56" s="64">
        <f>3727787+143890</f>
        <v>3871677</v>
      </c>
      <c r="H56" s="64">
        <f>3660693+125774</f>
        <v>3786467</v>
      </c>
      <c r="I56" s="66">
        <f>3770331+347738-160193-40511</f>
        <v>3917365</v>
      </c>
      <c r="J56" s="66">
        <f>3726571+197167-178014</f>
        <v>3745724</v>
      </c>
      <c r="K56" s="66">
        <f>3761173+311830-167590-758</f>
        <v>3904655</v>
      </c>
      <c r="L56" s="66">
        <f>3786445+324096-173400</f>
        <v>3937141</v>
      </c>
      <c r="M56" s="66">
        <f>3749373+459246-183876</f>
        <v>4024743</v>
      </c>
      <c r="N56" s="66">
        <f>3499048+159386</f>
        <v>3658434</v>
      </c>
      <c r="O56" s="66">
        <f>3535243+92515</f>
        <v>3627758</v>
      </c>
      <c r="P56" s="66">
        <v>3678650</v>
      </c>
      <c r="Q56" s="66">
        <f>3577459+132311</f>
        <v>3709770</v>
      </c>
      <c r="R56" s="66">
        <f>3545578+104656</f>
        <v>3650234</v>
      </c>
      <c r="S56" s="8">
        <f>3770331+347738-160193-40511</f>
        <v>3917365</v>
      </c>
      <c r="T56" s="19">
        <f>3749373+459246-183876</f>
        <v>4024743</v>
      </c>
      <c r="U56" s="19">
        <f>3577462+132311</f>
        <v>3709773</v>
      </c>
      <c r="V56" s="19">
        <f>3700662+123157</f>
        <v>3823819</v>
      </c>
      <c r="W56" s="19">
        <f t="shared" ref="W56" si="10">SUM(W57,W58,W59,W63,W74)</f>
        <v>4019213</v>
      </c>
    </row>
    <row r="57" spans="1:148" ht="15" customHeight="1" x14ac:dyDescent="0.15">
      <c r="A57" s="48"/>
      <c r="B57" s="86" t="s">
        <v>3</v>
      </c>
      <c r="C57" s="72">
        <v>141886</v>
      </c>
      <c r="D57" s="72">
        <v>316736</v>
      </c>
      <c r="E57" s="72">
        <v>206566</v>
      </c>
      <c r="F57" s="72">
        <v>262843</v>
      </c>
      <c r="G57" s="81">
        <v>352402</v>
      </c>
      <c r="H57" s="72">
        <v>333981</v>
      </c>
      <c r="I57" s="73">
        <f>515936-160193-40511</f>
        <v>315232</v>
      </c>
      <c r="J57" s="73">
        <f>488635-178014</f>
        <v>310621</v>
      </c>
      <c r="K57" s="73">
        <f>485344-167590-758</f>
        <v>316996</v>
      </c>
      <c r="L57" s="73">
        <f>473912+13-173400</f>
        <v>300525</v>
      </c>
      <c r="M57" s="73">
        <f>476213-183876</f>
        <v>292337</v>
      </c>
      <c r="N57" s="73">
        <v>290415</v>
      </c>
      <c r="O57" s="73">
        <v>284478</v>
      </c>
      <c r="P57" s="75">
        <v>281754</v>
      </c>
      <c r="Q57" s="75">
        <f>271767</f>
        <v>271767</v>
      </c>
      <c r="R57" s="93">
        <v>269172</v>
      </c>
      <c r="S57" s="11">
        <f>515936-160193-40511</f>
        <v>315232</v>
      </c>
      <c r="T57" s="11">
        <f>476213-183876</f>
        <v>292337</v>
      </c>
      <c r="U57" s="32">
        <v>271770</v>
      </c>
      <c r="V57" s="32">
        <v>253141</v>
      </c>
      <c r="W57" s="32">
        <v>219401</v>
      </c>
    </row>
    <row r="58" spans="1:148" ht="15" customHeight="1" x14ac:dyDescent="0.15">
      <c r="A58" s="48"/>
      <c r="B58" s="86" t="s">
        <v>14</v>
      </c>
      <c r="C58" s="72">
        <v>86319</v>
      </c>
      <c r="D58" s="72">
        <v>74032</v>
      </c>
      <c r="E58" s="72">
        <v>79847</v>
      </c>
      <c r="F58" s="72">
        <v>71795</v>
      </c>
      <c r="G58" s="81">
        <v>106284</v>
      </c>
      <c r="H58" s="72">
        <v>96475</v>
      </c>
      <c r="I58" s="73">
        <f>90268+0</f>
        <v>90268</v>
      </c>
      <c r="J58" s="73">
        <v>88460</v>
      </c>
      <c r="K58" s="73">
        <f>75507</f>
        <v>75507</v>
      </c>
      <c r="L58" s="73">
        <f>86352+0</f>
        <v>86352</v>
      </c>
      <c r="M58" s="73">
        <f>84161+5</f>
        <v>84166</v>
      </c>
      <c r="N58" s="73">
        <v>85301</v>
      </c>
      <c r="O58" s="73">
        <v>91375</v>
      </c>
      <c r="P58" s="75">
        <v>91564</v>
      </c>
      <c r="Q58" s="75">
        <v>84044</v>
      </c>
      <c r="R58" s="93">
        <v>82786</v>
      </c>
      <c r="S58" s="11">
        <f>90268+0</f>
        <v>90268</v>
      </c>
      <c r="T58" s="11">
        <f>84161+5</f>
        <v>84166</v>
      </c>
      <c r="U58" s="32">
        <v>84044</v>
      </c>
      <c r="V58" s="32">
        <v>76755</v>
      </c>
      <c r="W58" s="32">
        <v>66638</v>
      </c>
    </row>
    <row r="59" spans="1:148" ht="15" customHeight="1" x14ac:dyDescent="0.15">
      <c r="A59" s="48"/>
      <c r="B59" s="86" t="s">
        <v>17</v>
      </c>
      <c r="C59" s="72">
        <f>898563+278473</f>
        <v>1177036</v>
      </c>
      <c r="D59" s="72">
        <f>1094794+449150</f>
        <v>1543944</v>
      </c>
      <c r="E59" s="72">
        <f>1114350+53841</f>
        <v>1168191</v>
      </c>
      <c r="F59" s="72">
        <f>1148007+54094</f>
        <v>1202101</v>
      </c>
      <c r="G59" s="81">
        <f>1153307+137</f>
        <v>1153444</v>
      </c>
      <c r="H59" s="72">
        <f>956358+24473</f>
        <v>980831</v>
      </c>
      <c r="I59" s="73">
        <f>968457+23896</f>
        <v>992353</v>
      </c>
      <c r="J59" s="73">
        <f>1114390+22341</f>
        <v>1136731</v>
      </c>
      <c r="K59" s="73">
        <f>1070571+16328</f>
        <v>1086899</v>
      </c>
      <c r="L59" s="73">
        <f>1049526+13060</f>
        <v>1062586</v>
      </c>
      <c r="M59" s="73">
        <f>860023+9509</f>
        <v>869532</v>
      </c>
      <c r="N59" s="73">
        <f>822464</f>
        <v>822464</v>
      </c>
      <c r="O59" s="73">
        <v>851574</v>
      </c>
      <c r="P59" s="75">
        <v>905249</v>
      </c>
      <c r="Q59" s="75">
        <f>848010+10000</f>
        <v>858010</v>
      </c>
      <c r="R59" s="93">
        <v>838040</v>
      </c>
      <c r="S59" s="11">
        <f>968457+23896</f>
        <v>992353</v>
      </c>
      <c r="T59" s="11">
        <f>860023+9509</f>
        <v>869532</v>
      </c>
      <c r="U59" s="32">
        <f>848010+10000</f>
        <v>858010</v>
      </c>
      <c r="V59" s="32">
        <f>SUM(V60:V62)</f>
        <v>923992</v>
      </c>
      <c r="W59" s="32">
        <v>988077</v>
      </c>
    </row>
    <row r="60" spans="1:148" s="21" customFormat="1" ht="15" customHeight="1" x14ac:dyDescent="0.15">
      <c r="A60" s="103"/>
      <c r="B60" s="30" t="s">
        <v>27</v>
      </c>
      <c r="C60" s="104">
        <f>201004+1360</f>
        <v>202364</v>
      </c>
      <c r="D60" s="104">
        <v>110989</v>
      </c>
      <c r="E60" s="104">
        <v>154564</v>
      </c>
      <c r="F60" s="104">
        <v>350253</v>
      </c>
      <c r="G60" s="105">
        <v>492552</v>
      </c>
      <c r="H60" s="105">
        <v>388943</v>
      </c>
      <c r="I60" s="106">
        <f>361522</f>
        <v>361522</v>
      </c>
      <c r="J60" s="106">
        <v>441728</v>
      </c>
      <c r="K60" s="106">
        <v>503116</v>
      </c>
      <c r="L60" s="106">
        <v>474139</v>
      </c>
      <c r="M60" s="106">
        <v>203007</v>
      </c>
      <c r="N60" s="106">
        <v>173145</v>
      </c>
      <c r="O60" s="106">
        <v>166224</v>
      </c>
      <c r="P60" s="106">
        <v>163256</v>
      </c>
      <c r="Q60" s="106">
        <v>198595</v>
      </c>
      <c r="R60" s="106">
        <v>176184</v>
      </c>
      <c r="S60" s="31">
        <f>361522</f>
        <v>361522</v>
      </c>
      <c r="T60" s="31">
        <v>203007</v>
      </c>
      <c r="U60" s="31">
        <v>198595</v>
      </c>
      <c r="V60" s="31">
        <v>206589</v>
      </c>
      <c r="W60" s="31">
        <v>191351</v>
      </c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</row>
    <row r="61" spans="1:148" s="21" customFormat="1" ht="15" customHeight="1" x14ac:dyDescent="0.15">
      <c r="A61" s="103"/>
      <c r="B61" s="30" t="s">
        <v>28</v>
      </c>
      <c r="C61" s="104">
        <f>235895+253420</f>
        <v>489315</v>
      </c>
      <c r="D61" s="104">
        <f>255157+416050</f>
        <v>671207</v>
      </c>
      <c r="E61" s="104">
        <f>336929+53841</f>
        <v>390770</v>
      </c>
      <c r="F61" s="104">
        <f>253011+54094</f>
        <v>307105</v>
      </c>
      <c r="G61" s="105">
        <f>200466+137</f>
        <v>200603</v>
      </c>
      <c r="H61" s="105">
        <v>155229</v>
      </c>
      <c r="I61" s="106">
        <f>114627+0</f>
        <v>114627</v>
      </c>
      <c r="J61" s="106">
        <v>109975</v>
      </c>
      <c r="K61" s="106">
        <v>77646</v>
      </c>
      <c r="L61" s="106">
        <v>79693</v>
      </c>
      <c r="M61" s="106">
        <v>98507</v>
      </c>
      <c r="N61" s="106">
        <v>97596</v>
      </c>
      <c r="O61" s="106">
        <v>92953</v>
      </c>
      <c r="P61" s="106">
        <v>84512</v>
      </c>
      <c r="Q61" s="106">
        <v>78724</v>
      </c>
      <c r="R61" s="106">
        <v>89168</v>
      </c>
      <c r="S61" s="31">
        <f>114627+0</f>
        <v>114627</v>
      </c>
      <c r="T61" s="31">
        <v>98507</v>
      </c>
      <c r="U61" s="31">
        <v>78724</v>
      </c>
      <c r="V61" s="31">
        <v>86635</v>
      </c>
      <c r="W61" s="31">
        <v>102420</v>
      </c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</row>
    <row r="62" spans="1:148" s="21" customFormat="1" ht="15" customHeight="1" x14ac:dyDescent="0.15">
      <c r="A62" s="103"/>
      <c r="B62" s="30" t="s">
        <v>61</v>
      </c>
      <c r="C62" s="104">
        <f>461664+23693</f>
        <v>485357</v>
      </c>
      <c r="D62" s="104">
        <f>728648+33100</f>
        <v>761748</v>
      </c>
      <c r="E62" s="104">
        <v>622857</v>
      </c>
      <c r="F62" s="104">
        <v>544743</v>
      </c>
      <c r="G62" s="105">
        <v>460289</v>
      </c>
      <c r="H62" s="105">
        <f>412186+24473</f>
        <v>436659</v>
      </c>
      <c r="I62" s="106">
        <f>492308+23896</f>
        <v>516204</v>
      </c>
      <c r="J62" s="106">
        <f>562687+22341</f>
        <v>585028</v>
      </c>
      <c r="K62" s="106">
        <f>489809+16328</f>
        <v>506137</v>
      </c>
      <c r="L62" s="106">
        <f>495694+13060</f>
        <v>508754</v>
      </c>
      <c r="M62" s="106">
        <f>558509+9509</f>
        <v>568018</v>
      </c>
      <c r="N62" s="106">
        <v>551723</v>
      </c>
      <c r="O62" s="106">
        <v>592397</v>
      </c>
      <c r="P62" s="106">
        <v>657481</v>
      </c>
      <c r="Q62" s="106">
        <f>570691+10000</f>
        <v>580691</v>
      </c>
      <c r="R62" s="106">
        <v>572688</v>
      </c>
      <c r="S62" s="31">
        <f>492308+23896</f>
        <v>516204</v>
      </c>
      <c r="T62" s="31">
        <f>558509+9509</f>
        <v>568018</v>
      </c>
      <c r="U62" s="31">
        <f>570691+10000</f>
        <v>580691</v>
      </c>
      <c r="V62" s="31">
        <v>630768</v>
      </c>
      <c r="W62" s="31">
        <v>694306</v>
      </c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</row>
    <row r="63" spans="1:148" s="33" customFormat="1" ht="15" customHeight="1" x14ac:dyDescent="0.15">
      <c r="A63" s="48"/>
      <c r="B63" s="86" t="s">
        <v>59</v>
      </c>
      <c r="C63" s="72">
        <f>47938+1240</f>
        <v>49178</v>
      </c>
      <c r="D63" s="72">
        <f>48489+2745</f>
        <v>51234</v>
      </c>
      <c r="E63" s="72">
        <f>51140+3843</f>
        <v>54983</v>
      </c>
      <c r="F63" s="72">
        <f>111442+116726</f>
        <v>228168</v>
      </c>
      <c r="G63" s="81">
        <f>56100+143753</f>
        <v>199853</v>
      </c>
      <c r="H63" s="81">
        <f>49343+96775</f>
        <v>146118</v>
      </c>
      <c r="I63" s="107">
        <f>38195+319193</f>
        <v>357388</v>
      </c>
      <c r="J63" s="107">
        <f>30042+157078</f>
        <v>187120</v>
      </c>
      <c r="K63" s="107">
        <f>33103+277692</f>
        <v>310795</v>
      </c>
      <c r="L63" s="107">
        <f>32627+291252</f>
        <v>323879</v>
      </c>
      <c r="M63" s="107">
        <f>123479+425539</f>
        <v>549018</v>
      </c>
      <c r="N63" s="107">
        <f>102194+159386</f>
        <v>261580</v>
      </c>
      <c r="O63" s="107">
        <f>86979+92515</f>
        <v>179494</v>
      </c>
      <c r="P63" s="75">
        <v>182108</v>
      </c>
      <c r="Q63" s="75">
        <f>134691+132311</f>
        <v>267002</v>
      </c>
      <c r="R63" s="75">
        <f>132025+104656</f>
        <v>236681</v>
      </c>
      <c r="S63" s="32">
        <f>38195+319193</f>
        <v>357388</v>
      </c>
      <c r="T63" s="32">
        <f>123479+425539</f>
        <v>549018</v>
      </c>
      <c r="U63" s="13">
        <f>134691+132311</f>
        <v>267002</v>
      </c>
      <c r="V63" s="13">
        <f>+V64+V68</f>
        <v>288276</v>
      </c>
      <c r="W63" s="13">
        <f>192961+72801</f>
        <v>265762</v>
      </c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</row>
    <row r="64" spans="1:148" s="33" customFormat="1" ht="15" customHeight="1" x14ac:dyDescent="0.15">
      <c r="A64" s="48"/>
      <c r="B64" s="109" t="s">
        <v>50</v>
      </c>
      <c r="C64" s="87"/>
      <c r="D64" s="110"/>
      <c r="E64" s="110"/>
      <c r="F64" s="110"/>
      <c r="G64" s="81"/>
      <c r="H64" s="81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27">
        <f>SUM(S65:S67)</f>
        <v>0</v>
      </c>
      <c r="T64" s="27">
        <f>SUM(T65:T67)</f>
        <v>0</v>
      </c>
      <c r="U64" s="27">
        <f t="shared" ref="U64" si="11">SUM(U65:U67)</f>
        <v>0</v>
      </c>
      <c r="V64" s="27">
        <v>0</v>
      </c>
      <c r="W64" s="27">
        <v>0</v>
      </c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</row>
    <row r="65" spans="1:148" s="33" customFormat="1" ht="15" customHeight="1" x14ac:dyDescent="0.15">
      <c r="A65" s="48"/>
      <c r="B65" s="30" t="s">
        <v>51</v>
      </c>
      <c r="C65" s="105">
        <v>0</v>
      </c>
      <c r="D65" s="105">
        <v>0</v>
      </c>
      <c r="E65" s="105">
        <v>0</v>
      </c>
      <c r="F65" s="105">
        <v>0</v>
      </c>
      <c r="G65" s="105">
        <v>0</v>
      </c>
      <c r="H65" s="105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06">
        <v>0</v>
      </c>
      <c r="Q65" s="106">
        <v>0</v>
      </c>
      <c r="R65" s="106">
        <v>0</v>
      </c>
      <c r="S65" s="35">
        <v>0</v>
      </c>
      <c r="T65" s="35">
        <v>0</v>
      </c>
      <c r="U65" s="31">
        <v>0</v>
      </c>
      <c r="V65" s="31">
        <v>0</v>
      </c>
      <c r="W65" s="31">
        <v>0</v>
      </c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</row>
    <row r="66" spans="1:148" s="33" customFormat="1" ht="15" customHeight="1" x14ac:dyDescent="0.15">
      <c r="A66" s="48"/>
      <c r="B66" s="30" t="s">
        <v>52</v>
      </c>
      <c r="C66" s="105">
        <v>0</v>
      </c>
      <c r="D66" s="105">
        <v>0</v>
      </c>
      <c r="E66" s="105">
        <v>0</v>
      </c>
      <c r="F66" s="105">
        <v>0</v>
      </c>
      <c r="G66" s="105">
        <v>0</v>
      </c>
      <c r="H66" s="105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106">
        <v>0</v>
      </c>
      <c r="Q66" s="106">
        <v>0</v>
      </c>
      <c r="R66" s="106">
        <v>0</v>
      </c>
      <c r="S66" s="36">
        <v>0</v>
      </c>
      <c r="T66" s="36">
        <v>0</v>
      </c>
      <c r="U66" s="31">
        <v>0</v>
      </c>
      <c r="V66" s="31">
        <v>0</v>
      </c>
      <c r="W66" s="31">
        <v>0</v>
      </c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</row>
    <row r="67" spans="1:148" s="33" customFormat="1" ht="15" customHeight="1" x14ac:dyDescent="0.15">
      <c r="A67" s="48"/>
      <c r="B67" s="30" t="s">
        <v>53</v>
      </c>
      <c r="C67" s="105">
        <v>0</v>
      </c>
      <c r="D67" s="105">
        <v>0</v>
      </c>
      <c r="E67" s="105">
        <v>0</v>
      </c>
      <c r="F67" s="105">
        <v>0</v>
      </c>
      <c r="G67" s="105">
        <v>0</v>
      </c>
      <c r="H67" s="105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106">
        <v>0</v>
      </c>
      <c r="Q67" s="106">
        <v>0</v>
      </c>
      <c r="R67" s="106">
        <v>0</v>
      </c>
      <c r="S67" s="36">
        <v>0</v>
      </c>
      <c r="T67" s="36">
        <v>0</v>
      </c>
      <c r="U67" s="31">
        <v>0</v>
      </c>
      <c r="V67" s="31">
        <v>0</v>
      </c>
      <c r="W67" s="31">
        <v>0</v>
      </c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</row>
    <row r="68" spans="1:148" s="33" customFormat="1" ht="15" customHeight="1" x14ac:dyDescent="0.15">
      <c r="A68" s="48"/>
      <c r="B68" s="82" t="s">
        <v>64</v>
      </c>
      <c r="C68" s="72"/>
      <c r="D68" s="110"/>
      <c r="E68" s="110"/>
      <c r="F68" s="110"/>
      <c r="G68" s="81"/>
      <c r="H68" s="81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11">
        <f>SUM(S69:S73)</f>
        <v>357388</v>
      </c>
      <c r="T68" s="11">
        <f>SUM(T69:T73)</f>
        <v>549018</v>
      </c>
      <c r="U68" s="11">
        <f t="shared" ref="U68" si="12">SUM(U69:U73)</f>
        <v>267002</v>
      </c>
      <c r="V68" s="11">
        <f>SUM(V69:V73)</f>
        <v>288276</v>
      </c>
      <c r="W68" s="11">
        <f>192961+72801</f>
        <v>265762</v>
      </c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</row>
    <row r="69" spans="1:148" s="37" customFormat="1" ht="15" customHeight="1" x14ac:dyDescent="0.15">
      <c r="A69" s="103"/>
      <c r="B69" s="30" t="s">
        <v>54</v>
      </c>
      <c r="C69" s="104">
        <v>2462</v>
      </c>
      <c r="D69" s="104">
        <v>2144</v>
      </c>
      <c r="E69" s="36">
        <v>0</v>
      </c>
      <c r="F69" s="36">
        <v>5892</v>
      </c>
      <c r="G69" s="105">
        <f>7976+0</f>
        <v>7976</v>
      </c>
      <c r="H69" s="105">
        <v>1367</v>
      </c>
      <c r="I69" s="106">
        <v>2426</v>
      </c>
      <c r="J69" s="106">
        <v>2425</v>
      </c>
      <c r="K69" s="106">
        <v>2160</v>
      </c>
      <c r="L69" s="106">
        <v>2124</v>
      </c>
      <c r="M69" s="106">
        <v>5707</v>
      </c>
      <c r="N69" s="106">
        <f>4998+0</f>
        <v>4998</v>
      </c>
      <c r="O69" s="106">
        <v>2273</v>
      </c>
      <c r="P69" s="106">
        <v>2126</v>
      </c>
      <c r="Q69" s="106">
        <v>1996</v>
      </c>
      <c r="R69" s="106">
        <v>2262</v>
      </c>
      <c r="S69" s="31">
        <v>2426</v>
      </c>
      <c r="T69" s="31">
        <v>5707</v>
      </c>
      <c r="U69" s="31">
        <v>1996</v>
      </c>
      <c r="V69" s="31">
        <v>2911</v>
      </c>
      <c r="W69" s="31">
        <v>1768</v>
      </c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</row>
    <row r="70" spans="1:148" s="37" customFormat="1" ht="15" customHeight="1" x14ac:dyDescent="0.15">
      <c r="A70" s="103"/>
      <c r="B70" s="30" t="s">
        <v>55</v>
      </c>
      <c r="C70" s="104">
        <f>1557+1240</f>
        <v>2797</v>
      </c>
      <c r="D70" s="104">
        <f>3417+2745</f>
        <v>6162</v>
      </c>
      <c r="E70" s="104">
        <f>5174+3843</f>
        <v>9017</v>
      </c>
      <c r="F70" s="104">
        <v>9702</v>
      </c>
      <c r="G70" s="105">
        <f>252+2117</f>
        <v>2369</v>
      </c>
      <c r="H70" s="105">
        <f>5457+1487</f>
        <v>6944</v>
      </c>
      <c r="I70" s="106">
        <f>4883+4104</f>
        <v>8987</v>
      </c>
      <c r="J70" s="106">
        <f>2092+8859</f>
        <v>10951</v>
      </c>
      <c r="K70" s="106">
        <f>191+2813</f>
        <v>3004</v>
      </c>
      <c r="L70" s="106">
        <f>178+847</f>
        <v>1025</v>
      </c>
      <c r="M70" s="106">
        <f>166+7</f>
        <v>173</v>
      </c>
      <c r="N70" s="106">
        <v>153</v>
      </c>
      <c r="O70" s="106">
        <v>141</v>
      </c>
      <c r="P70" s="106">
        <v>129</v>
      </c>
      <c r="Q70" s="106">
        <v>424</v>
      </c>
      <c r="R70" s="106">
        <v>421</v>
      </c>
      <c r="S70" s="31">
        <f>4883+4104</f>
        <v>8987</v>
      </c>
      <c r="T70" s="31">
        <f>166+7</f>
        <v>173</v>
      </c>
      <c r="U70" s="31">
        <v>424</v>
      </c>
      <c r="V70" s="31">
        <v>0</v>
      </c>
      <c r="W70" s="31">
        <v>0</v>
      </c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</row>
    <row r="71" spans="1:148" s="37" customFormat="1" ht="15" customHeight="1" x14ac:dyDescent="0.15">
      <c r="A71" s="103"/>
      <c r="B71" s="30" t="s">
        <v>56</v>
      </c>
      <c r="C71" s="113">
        <v>0</v>
      </c>
      <c r="D71" s="104">
        <v>18334</v>
      </c>
      <c r="E71" s="104">
        <v>23660</v>
      </c>
      <c r="F71" s="104">
        <v>19032</v>
      </c>
      <c r="G71" s="105">
        <f>17434+0</f>
        <v>17434</v>
      </c>
      <c r="H71" s="105">
        <v>16850</v>
      </c>
      <c r="I71" s="106">
        <f>7929+0</f>
        <v>7929</v>
      </c>
      <c r="J71" s="106">
        <v>6334</v>
      </c>
      <c r="K71" s="106">
        <v>7547</v>
      </c>
      <c r="L71" s="106">
        <f>2004+0</f>
        <v>2004</v>
      </c>
      <c r="M71" s="106">
        <v>97579</v>
      </c>
      <c r="N71" s="106">
        <f>72818+0</f>
        <v>72818</v>
      </c>
      <c r="O71" s="106">
        <v>18601</v>
      </c>
      <c r="P71" s="106">
        <v>45916</v>
      </c>
      <c r="Q71" s="106">
        <v>65590</v>
      </c>
      <c r="R71" s="106">
        <v>64468</v>
      </c>
      <c r="S71" s="31">
        <f>7929+0</f>
        <v>7929</v>
      </c>
      <c r="T71" s="31">
        <v>97579</v>
      </c>
      <c r="U71" s="31">
        <v>65590</v>
      </c>
      <c r="V71" s="31">
        <v>104079</v>
      </c>
      <c r="W71" s="31">
        <v>1323</v>
      </c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</row>
    <row r="72" spans="1:148" s="37" customFormat="1" ht="15" customHeight="1" x14ac:dyDescent="0.15">
      <c r="A72" s="103"/>
      <c r="B72" s="38" t="s">
        <v>57</v>
      </c>
      <c r="C72" s="104">
        <v>43919</v>
      </c>
      <c r="D72" s="104">
        <v>24594</v>
      </c>
      <c r="E72" s="104">
        <v>22306</v>
      </c>
      <c r="F72" s="104">
        <f>76816+116726</f>
        <v>193542</v>
      </c>
      <c r="G72" s="105">
        <f>9734+141636</f>
        <v>151370</v>
      </c>
      <c r="H72" s="105">
        <f>3130+43494</f>
        <v>46624</v>
      </c>
      <c r="I72" s="106">
        <f>1538+160686</f>
        <v>162224</v>
      </c>
      <c r="J72" s="106">
        <f>1270+128882</f>
        <v>130152</v>
      </c>
      <c r="K72" s="106">
        <f>5284+132683</f>
        <v>137967</v>
      </c>
      <c r="L72" s="106">
        <f>4311+153854</f>
        <v>158165</v>
      </c>
      <c r="M72" s="106">
        <f>281997+4373</f>
        <v>286370</v>
      </c>
      <c r="N72" s="106">
        <f>14620+159386</f>
        <v>174006</v>
      </c>
      <c r="O72" s="106">
        <f>53307+92515</f>
        <v>145822</v>
      </c>
      <c r="P72" s="106">
        <v>92429</v>
      </c>
      <c r="Q72" s="106">
        <f>57530+132311</f>
        <v>189841</v>
      </c>
      <c r="R72" s="106">
        <f>55748+104656</f>
        <v>160404</v>
      </c>
      <c r="S72" s="31">
        <f>1538+160686</f>
        <v>162224</v>
      </c>
      <c r="T72" s="31">
        <f>281997+4373</f>
        <v>286370</v>
      </c>
      <c r="U72" s="31">
        <f>57530+132311</f>
        <v>189841</v>
      </c>
      <c r="V72" s="31">
        <f>52301+123157</f>
        <v>175458</v>
      </c>
      <c r="W72" s="31">
        <f>192961+64019</f>
        <v>256980</v>
      </c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</row>
    <row r="73" spans="1:148" s="37" customFormat="1" ht="15" customHeight="1" x14ac:dyDescent="0.15">
      <c r="A73" s="103"/>
      <c r="B73" s="89" t="s">
        <v>62</v>
      </c>
      <c r="C73" s="110">
        <v>0</v>
      </c>
      <c r="D73" s="110">
        <v>0</v>
      </c>
      <c r="E73" s="110">
        <v>0</v>
      </c>
      <c r="F73" s="110">
        <v>0</v>
      </c>
      <c r="G73" s="114">
        <v>20704</v>
      </c>
      <c r="H73" s="114">
        <f>22519+51814</f>
        <v>74333</v>
      </c>
      <c r="I73" s="106">
        <f>21419+154403</f>
        <v>175822</v>
      </c>
      <c r="J73" s="106">
        <f>17921+19337</f>
        <v>37258</v>
      </c>
      <c r="K73" s="106">
        <f>17921+142196</f>
        <v>160117</v>
      </c>
      <c r="L73" s="106">
        <f>24010+136551</f>
        <v>160561</v>
      </c>
      <c r="M73" s="106">
        <f>15654+143535</f>
        <v>159189</v>
      </c>
      <c r="N73" s="106">
        <f>9605</f>
        <v>9605</v>
      </c>
      <c r="O73" s="106">
        <v>12657</v>
      </c>
      <c r="P73" s="106">
        <v>41508</v>
      </c>
      <c r="Q73" s="106">
        <v>9151</v>
      </c>
      <c r="R73" s="106">
        <v>9124</v>
      </c>
      <c r="S73" s="115">
        <f>21419+154403</f>
        <v>175822</v>
      </c>
      <c r="T73" s="31">
        <f>15654+143535</f>
        <v>159189</v>
      </c>
      <c r="U73" s="31">
        <v>9151</v>
      </c>
      <c r="V73" s="31">
        <v>5828</v>
      </c>
      <c r="W73" s="31">
        <v>5691</v>
      </c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</row>
    <row r="74" spans="1:148" ht="15" customHeight="1" x14ac:dyDescent="0.15">
      <c r="A74" s="48"/>
      <c r="B74" s="86" t="s">
        <v>4</v>
      </c>
      <c r="C74" s="72">
        <f>1533720+7071</f>
        <v>1540791</v>
      </c>
      <c r="D74" s="72">
        <f>1781708+15710</f>
        <v>1797418</v>
      </c>
      <c r="E74" s="72">
        <f>1952243+27</f>
        <v>1952270</v>
      </c>
      <c r="F74" s="72">
        <v>2015679</v>
      </c>
      <c r="G74" s="81">
        <v>2059694</v>
      </c>
      <c r="H74" s="72">
        <f>2224536+4526</f>
        <v>2229062</v>
      </c>
      <c r="I74" s="93">
        <f>2157475+4649</f>
        <v>2162124</v>
      </c>
      <c r="J74" s="93">
        <f>2005044+17748</f>
        <v>2022792</v>
      </c>
      <c r="K74" s="93">
        <f>2096648+17810</f>
        <v>2114458</v>
      </c>
      <c r="L74" s="93">
        <f>2144028+19771</f>
        <v>2163799</v>
      </c>
      <c r="M74" s="93">
        <f>2205497+24193</f>
        <v>2229690</v>
      </c>
      <c r="N74" s="93">
        <f>2198670</f>
        <v>2198670</v>
      </c>
      <c r="O74" s="93">
        <v>2220837</v>
      </c>
      <c r="P74" s="75">
        <v>2217975</v>
      </c>
      <c r="Q74" s="75">
        <f>2238947-10000</f>
        <v>2228947</v>
      </c>
      <c r="R74" s="93">
        <v>2223555</v>
      </c>
      <c r="S74" s="24">
        <f>2157475+4649</f>
        <v>2162124</v>
      </c>
      <c r="T74" s="24">
        <f>2205497+24193</f>
        <v>2229690</v>
      </c>
      <c r="U74" s="13">
        <f>2238947-10000</f>
        <v>2228947</v>
      </c>
      <c r="V74" s="24">
        <f t="shared" ref="V74" si="13">SUM(V75:V78)</f>
        <v>2281655</v>
      </c>
      <c r="W74" s="24">
        <v>2479335</v>
      </c>
    </row>
    <row r="75" spans="1:148" ht="15" customHeight="1" x14ac:dyDescent="0.15">
      <c r="A75" s="48"/>
      <c r="B75" s="30" t="s">
        <v>29</v>
      </c>
      <c r="C75" s="104">
        <f>1308168+5719</f>
        <v>1313887</v>
      </c>
      <c r="D75" s="104">
        <f>1554964+12810</f>
        <v>1567774</v>
      </c>
      <c r="E75" s="104">
        <v>1650722</v>
      </c>
      <c r="F75" s="104">
        <v>1750259</v>
      </c>
      <c r="G75" s="105">
        <v>1784564</v>
      </c>
      <c r="H75" s="105">
        <f>1849086+1107</f>
        <v>1850193</v>
      </c>
      <c r="I75" s="106">
        <f>1845168+3917</f>
        <v>1849085</v>
      </c>
      <c r="J75" s="106">
        <f>1727690+17722</f>
        <v>1745412</v>
      </c>
      <c r="K75" s="106">
        <f>1719532+17810</f>
        <v>1737342</v>
      </c>
      <c r="L75" s="106">
        <f>1752640+19771</f>
        <v>1772411</v>
      </c>
      <c r="M75" s="106">
        <f>1849710+24164</f>
        <v>1873874</v>
      </c>
      <c r="N75" s="106">
        <v>1868552</v>
      </c>
      <c r="O75" s="106">
        <v>1878621</v>
      </c>
      <c r="P75" s="106">
        <v>1851255</v>
      </c>
      <c r="Q75" s="106">
        <f>1874374-10000</f>
        <v>1864374</v>
      </c>
      <c r="R75" s="106">
        <v>1867623</v>
      </c>
      <c r="S75" s="31">
        <f>1845168+3917</f>
        <v>1849085</v>
      </c>
      <c r="T75" s="31">
        <f>1849710+24164</f>
        <v>1873874</v>
      </c>
      <c r="U75" s="31">
        <f>1874374-10000</f>
        <v>1864374</v>
      </c>
      <c r="V75" s="31">
        <v>1921087</v>
      </c>
      <c r="W75" s="31">
        <v>2063763</v>
      </c>
    </row>
    <row r="76" spans="1:148" ht="15" customHeight="1" x14ac:dyDescent="0.15">
      <c r="A76" s="48"/>
      <c r="B76" s="30" t="s">
        <v>30</v>
      </c>
      <c r="C76" s="104">
        <f>56397+518</f>
        <v>56915</v>
      </c>
      <c r="D76" s="104">
        <f>52757+518</f>
        <v>53275</v>
      </c>
      <c r="E76" s="104">
        <v>84264</v>
      </c>
      <c r="F76" s="104">
        <v>59770</v>
      </c>
      <c r="G76" s="105">
        <v>44144</v>
      </c>
      <c r="H76" s="105">
        <v>39640</v>
      </c>
      <c r="I76" s="106">
        <f>36730+0</f>
        <v>36730</v>
      </c>
      <c r="J76" s="106">
        <v>36159</v>
      </c>
      <c r="K76" s="106">
        <f>37554+0</f>
        <v>37554</v>
      </c>
      <c r="L76" s="106">
        <v>39491</v>
      </c>
      <c r="M76" s="106">
        <v>41089</v>
      </c>
      <c r="N76" s="106">
        <v>42416</v>
      </c>
      <c r="O76" s="106">
        <v>43170</v>
      </c>
      <c r="P76" s="106">
        <v>56280</v>
      </c>
      <c r="Q76" s="106">
        <v>49439</v>
      </c>
      <c r="R76" s="106">
        <v>51798</v>
      </c>
      <c r="S76" s="31">
        <f>36730+0</f>
        <v>36730</v>
      </c>
      <c r="T76" s="31">
        <v>41089</v>
      </c>
      <c r="U76" s="31">
        <v>49439</v>
      </c>
      <c r="V76" s="31">
        <v>55015</v>
      </c>
      <c r="W76" s="31">
        <v>60546</v>
      </c>
    </row>
    <row r="77" spans="1:148" ht="15" customHeight="1" x14ac:dyDescent="0.15">
      <c r="A77" s="48"/>
      <c r="B77" s="30" t="s">
        <v>31</v>
      </c>
      <c r="C77" s="104">
        <f>5724+31</f>
        <v>5755</v>
      </c>
      <c r="D77" s="104">
        <f>1986+31</f>
        <v>2017</v>
      </c>
      <c r="E77" s="104">
        <v>3806</v>
      </c>
      <c r="F77" s="104">
        <v>5608</v>
      </c>
      <c r="G77" s="105">
        <v>5383</v>
      </c>
      <c r="H77" s="105">
        <v>5143</v>
      </c>
      <c r="I77" s="106">
        <v>6196</v>
      </c>
      <c r="J77" s="106">
        <v>5951</v>
      </c>
      <c r="K77" s="106">
        <f>6027+0</f>
        <v>6027</v>
      </c>
      <c r="L77" s="106">
        <v>6761</v>
      </c>
      <c r="M77" s="106">
        <v>6891</v>
      </c>
      <c r="N77" s="106">
        <v>7046</v>
      </c>
      <c r="O77" s="106">
        <v>6896</v>
      </c>
      <c r="P77" s="106">
        <v>7489</v>
      </c>
      <c r="Q77" s="106">
        <v>7581</v>
      </c>
      <c r="R77" s="106">
        <v>6937</v>
      </c>
      <c r="S77" s="31">
        <v>6196</v>
      </c>
      <c r="T77" s="31">
        <v>6891</v>
      </c>
      <c r="U77" s="31">
        <v>7581</v>
      </c>
      <c r="V77" s="31">
        <v>7139</v>
      </c>
      <c r="W77" s="31">
        <v>7658</v>
      </c>
    </row>
    <row r="78" spans="1:148" ht="15" customHeight="1" x14ac:dyDescent="0.15">
      <c r="A78" s="48"/>
      <c r="B78" s="30" t="s">
        <v>32</v>
      </c>
      <c r="C78" s="104">
        <f>163431+803</f>
        <v>164234</v>
      </c>
      <c r="D78" s="104">
        <f>172001+2351</f>
        <v>174352</v>
      </c>
      <c r="E78" s="104">
        <f>213451+27</f>
        <v>213478</v>
      </c>
      <c r="F78" s="104">
        <v>200042</v>
      </c>
      <c r="G78" s="105">
        <f>225377+226</f>
        <v>225603</v>
      </c>
      <c r="H78" s="105">
        <f>330667+3419</f>
        <v>334086</v>
      </c>
      <c r="I78" s="106">
        <f>269381+732</f>
        <v>270113</v>
      </c>
      <c r="J78" s="106">
        <f>235244+26</f>
        <v>235270</v>
      </c>
      <c r="K78" s="106">
        <f>310135+23400</f>
        <v>333535</v>
      </c>
      <c r="L78" s="106">
        <v>345136</v>
      </c>
      <c r="M78" s="106">
        <f>307807+29</f>
        <v>307836</v>
      </c>
      <c r="N78" s="106">
        <v>280657</v>
      </c>
      <c r="O78" s="106">
        <v>274050</v>
      </c>
      <c r="P78" s="106">
        <v>302951</v>
      </c>
      <c r="Q78" s="106">
        <v>307553</v>
      </c>
      <c r="R78" s="106">
        <f>281134+16063</f>
        <v>297197</v>
      </c>
      <c r="S78" s="31">
        <f>269381+732</f>
        <v>270113</v>
      </c>
      <c r="T78" s="31">
        <f>307807+29</f>
        <v>307836</v>
      </c>
      <c r="U78" s="31">
        <v>307553</v>
      </c>
      <c r="V78" s="31">
        <f>276025+22389</f>
        <v>298414</v>
      </c>
      <c r="W78" s="31">
        <f>259043+88325</f>
        <v>347368</v>
      </c>
    </row>
    <row r="79" spans="1:148" ht="6" customHeight="1" x14ac:dyDescent="0.15">
      <c r="A79" s="48"/>
      <c r="B79" s="30"/>
      <c r="C79" s="116"/>
      <c r="D79" s="116"/>
      <c r="E79" s="116"/>
      <c r="F79" s="116"/>
      <c r="G79" s="117"/>
      <c r="H79" s="117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8"/>
      <c r="T79" s="8"/>
      <c r="U79" s="8"/>
      <c r="V79" s="8"/>
      <c r="W79" s="8"/>
    </row>
    <row r="80" spans="1:148" ht="15" customHeight="1" x14ac:dyDescent="0.15">
      <c r="A80" s="48"/>
      <c r="B80" s="118" t="s">
        <v>38</v>
      </c>
      <c r="C80" s="69">
        <f>1700857+6352617</f>
        <v>8053474</v>
      </c>
      <c r="D80" s="69">
        <f>1862554+5396870</f>
        <v>7259424</v>
      </c>
      <c r="E80" s="69">
        <f>1844167+3721890</f>
        <v>5566057</v>
      </c>
      <c r="F80" s="69">
        <f>1737153+4124578</f>
        <v>5861731</v>
      </c>
      <c r="G80" s="64">
        <f>1820606+1740162</f>
        <v>3560768</v>
      </c>
      <c r="H80" s="64">
        <f>1528627+1775167</f>
        <v>3303794</v>
      </c>
      <c r="I80" s="66">
        <f>1036843+1738110</f>
        <v>2774953</v>
      </c>
      <c r="J80" s="66">
        <f>1072241+1641448</f>
        <v>2713689</v>
      </c>
      <c r="K80" s="66">
        <f>1070553+1654370</f>
        <v>2724923</v>
      </c>
      <c r="L80" s="66">
        <f>992903+1697245</f>
        <v>2690148</v>
      </c>
      <c r="M80" s="66">
        <f>1076626+2213399</f>
        <v>3290025</v>
      </c>
      <c r="N80" s="66">
        <f>979165+2779558</f>
        <v>3758723</v>
      </c>
      <c r="O80" s="66">
        <f>985084+3256497</f>
        <v>4241581</v>
      </c>
      <c r="P80" s="66">
        <v>6577435</v>
      </c>
      <c r="Q80" s="66">
        <f>3536354+4616662</f>
        <v>8153016</v>
      </c>
      <c r="R80" s="66">
        <f>3610830+4731341</f>
        <v>8342171</v>
      </c>
      <c r="S80" s="8">
        <f>1036843+1738110</f>
        <v>2774953</v>
      </c>
      <c r="T80" s="19">
        <f>1076626+2213399</f>
        <v>3290025</v>
      </c>
      <c r="U80" s="19">
        <f>3536354+4616662</f>
        <v>8153016</v>
      </c>
      <c r="V80" s="19">
        <f t="shared" ref="V80" si="14">SUM(V81:V85)</f>
        <v>7371615</v>
      </c>
      <c r="W80" s="19">
        <f t="shared" ref="W80" si="15">SUM(W81:W85)</f>
        <v>6505473</v>
      </c>
    </row>
    <row r="81" spans="1:148" s="124" customFormat="1" ht="15" customHeight="1" x14ac:dyDescent="0.15">
      <c r="A81" s="119"/>
      <c r="B81" s="120" t="s">
        <v>20</v>
      </c>
      <c r="C81" s="88" t="s">
        <v>22</v>
      </c>
      <c r="D81" s="88" t="s">
        <v>22</v>
      </c>
      <c r="E81" s="88" t="s">
        <v>22</v>
      </c>
      <c r="F81" s="88" t="s">
        <v>22</v>
      </c>
      <c r="G81" s="72">
        <v>117</v>
      </c>
      <c r="H81" s="81">
        <f>277+3738</f>
        <v>4015</v>
      </c>
      <c r="I81" s="121">
        <f>90541+3712</f>
        <v>94253</v>
      </c>
      <c r="J81" s="121">
        <f>90592+188</f>
        <v>90780</v>
      </c>
      <c r="K81" s="121">
        <f>91052+156</f>
        <v>91208</v>
      </c>
      <c r="L81" s="121">
        <f>41126+103</f>
        <v>41229</v>
      </c>
      <c r="M81" s="121">
        <f>41317+100</f>
        <v>41417</v>
      </c>
      <c r="N81" s="121">
        <f>40319</f>
        <v>40319</v>
      </c>
      <c r="O81" s="122">
        <v>40386</v>
      </c>
      <c r="P81" s="123">
        <v>40643</v>
      </c>
      <c r="Q81" s="123">
        <f>40000+300</f>
        <v>40300</v>
      </c>
      <c r="R81" s="123">
        <f>40000+0</f>
        <v>40000</v>
      </c>
      <c r="S81" s="32">
        <f>90541+3712</f>
        <v>94253</v>
      </c>
      <c r="T81" s="32">
        <f>41317+100</f>
        <v>41417</v>
      </c>
      <c r="U81" s="32">
        <f>40000+300</f>
        <v>40300</v>
      </c>
      <c r="V81" s="32">
        <f>1148+40000</f>
        <v>41148</v>
      </c>
      <c r="W81" s="32">
        <v>440</v>
      </c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</row>
    <row r="82" spans="1:148" s="124" customFormat="1" ht="15" customHeight="1" x14ac:dyDescent="0.15">
      <c r="A82" s="119"/>
      <c r="B82" s="125" t="s">
        <v>47</v>
      </c>
      <c r="C82" s="88" t="s">
        <v>22</v>
      </c>
      <c r="D82" s="88" t="s">
        <v>22</v>
      </c>
      <c r="E82" s="88" t="s">
        <v>22</v>
      </c>
      <c r="F82" s="88" t="s">
        <v>22</v>
      </c>
      <c r="G82" s="88">
        <v>0</v>
      </c>
      <c r="H82" s="72">
        <v>49903</v>
      </c>
      <c r="I82" s="122">
        <f>51716+0</f>
        <v>51716</v>
      </c>
      <c r="J82" s="122">
        <v>50780</v>
      </c>
      <c r="K82" s="126">
        <v>0</v>
      </c>
      <c r="L82" s="126">
        <v>0</v>
      </c>
      <c r="M82" s="126">
        <v>0</v>
      </c>
      <c r="N82" s="126">
        <v>0</v>
      </c>
      <c r="O82" s="126">
        <v>0</v>
      </c>
      <c r="P82" s="123">
        <v>0</v>
      </c>
      <c r="Q82" s="123">
        <v>0</v>
      </c>
      <c r="R82" s="123">
        <f>0+0</f>
        <v>0</v>
      </c>
      <c r="S82" s="24">
        <f>51716+0</f>
        <v>51716</v>
      </c>
      <c r="T82" s="32">
        <v>0</v>
      </c>
      <c r="U82" s="32">
        <v>0</v>
      </c>
      <c r="V82" s="32">
        <v>0</v>
      </c>
      <c r="W82" s="32">
        <v>0</v>
      </c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</row>
    <row r="83" spans="1:148" s="124" customFormat="1" ht="15" customHeight="1" x14ac:dyDescent="0.15">
      <c r="A83" s="119"/>
      <c r="B83" s="125" t="s">
        <v>64</v>
      </c>
      <c r="C83" s="88" t="s">
        <v>22</v>
      </c>
      <c r="D83" s="88" t="s">
        <v>22</v>
      </c>
      <c r="E83" s="88" t="s">
        <v>22</v>
      </c>
      <c r="F83" s="88" t="s">
        <v>22</v>
      </c>
      <c r="G83" s="72">
        <v>85000</v>
      </c>
      <c r="H83" s="72">
        <f>83749+67649</f>
        <v>151398</v>
      </c>
      <c r="I83" s="122">
        <f>113965+32186</f>
        <v>146151</v>
      </c>
      <c r="J83" s="122">
        <f>97579+11746</f>
        <v>109325</v>
      </c>
      <c r="K83" s="122">
        <f>94678+33584</f>
        <v>128262</v>
      </c>
      <c r="L83" s="122">
        <f>104171+50303</f>
        <v>154474</v>
      </c>
      <c r="M83" s="122">
        <f>103939+61159</f>
        <v>165098</v>
      </c>
      <c r="N83" s="122">
        <f>98475+10565</f>
        <v>109040</v>
      </c>
      <c r="O83" s="122">
        <f>91889+23265</f>
        <v>115154</v>
      </c>
      <c r="P83" s="123">
        <v>135737</v>
      </c>
      <c r="Q83" s="123">
        <f>76681+44979</f>
        <v>121660</v>
      </c>
      <c r="R83" s="123">
        <f>76803+0</f>
        <v>76803</v>
      </c>
      <c r="S83" s="24">
        <f>113965+32186</f>
        <v>146151</v>
      </c>
      <c r="T83" s="32">
        <f>103939+61159</f>
        <v>165098</v>
      </c>
      <c r="U83" s="32">
        <f>76681+44979</f>
        <v>121660</v>
      </c>
      <c r="V83" s="32">
        <f>18854+124397</f>
        <v>143251</v>
      </c>
      <c r="W83" s="32">
        <f>78278+119619</f>
        <v>197897</v>
      </c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</row>
    <row r="84" spans="1:148" s="124" customFormat="1" ht="15" customHeight="1" x14ac:dyDescent="0.15">
      <c r="A84" s="119"/>
      <c r="B84" s="125" t="s">
        <v>81</v>
      </c>
      <c r="C84" s="88" t="s">
        <v>22</v>
      </c>
      <c r="D84" s="88" t="s">
        <v>22</v>
      </c>
      <c r="E84" s="88" t="s">
        <v>22</v>
      </c>
      <c r="F84" s="88" t="s">
        <v>22</v>
      </c>
      <c r="G84" s="72">
        <f>1618297+548420</f>
        <v>2166717</v>
      </c>
      <c r="H84" s="72">
        <f>1246745+600509</f>
        <v>1847254</v>
      </c>
      <c r="I84" s="70" t="s">
        <v>22</v>
      </c>
      <c r="J84" s="122">
        <f>627448+516083</f>
        <v>1143531</v>
      </c>
      <c r="K84" s="122">
        <f>713115+535850+0</f>
        <v>1248965</v>
      </c>
      <c r="L84" s="122">
        <f>683340+562333</f>
        <v>1245673</v>
      </c>
      <c r="M84" s="122">
        <f>771017+939716</f>
        <v>1710733</v>
      </c>
      <c r="N84" s="122">
        <f>290604+1320651</f>
        <v>1611255</v>
      </c>
      <c r="O84" s="121">
        <f>289874+1683451</f>
        <v>1973325</v>
      </c>
      <c r="P84" s="121">
        <v>4279400</v>
      </c>
      <c r="Q84" s="121">
        <f>2910127+2761254</f>
        <v>5671381</v>
      </c>
      <c r="R84" s="121">
        <v>5919216</v>
      </c>
      <c r="S84" s="127" t="s">
        <v>22</v>
      </c>
      <c r="T84" s="24">
        <f>771017+939716</f>
        <v>1710733</v>
      </c>
      <c r="U84" s="32">
        <f>2910127+2761254</f>
        <v>5671381</v>
      </c>
      <c r="V84" s="32">
        <f>2527279+2498627</f>
        <v>5025906</v>
      </c>
      <c r="W84" s="32">
        <f>2410104+1923819</f>
        <v>4333923</v>
      </c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</row>
    <row r="85" spans="1:148" s="124" customFormat="1" ht="15" customHeight="1" x14ac:dyDescent="0.15">
      <c r="A85" s="119"/>
      <c r="B85" s="125" t="s">
        <v>84</v>
      </c>
      <c r="C85" s="88" t="s">
        <v>22</v>
      </c>
      <c r="D85" s="88" t="s">
        <v>22</v>
      </c>
      <c r="E85" s="88" t="s">
        <v>22</v>
      </c>
      <c r="F85" s="88" t="s">
        <v>22</v>
      </c>
      <c r="G85" s="72">
        <f>117192+1191742</f>
        <v>1308934</v>
      </c>
      <c r="H85" s="72">
        <f>147953+1103271</f>
        <v>1251224</v>
      </c>
      <c r="I85" s="70" t="s">
        <v>22</v>
      </c>
      <c r="J85" s="122">
        <f>205842+1113431</f>
        <v>1319273</v>
      </c>
      <c r="K85" s="122">
        <f>171708+1084780</f>
        <v>1256488</v>
      </c>
      <c r="L85" s="122">
        <f>164266+1084506</f>
        <v>1248772</v>
      </c>
      <c r="M85" s="122">
        <f>160353+1212424</f>
        <v>1372777</v>
      </c>
      <c r="N85" s="122">
        <f>549768+1448342</f>
        <v>1998110</v>
      </c>
      <c r="O85" s="121">
        <f>562935+1549781</f>
        <v>2112716</v>
      </c>
      <c r="P85" s="121">
        <v>2121655</v>
      </c>
      <c r="Q85" s="121">
        <f>509546+1810129</f>
        <v>2319675</v>
      </c>
      <c r="R85" s="121">
        <v>2306152</v>
      </c>
      <c r="S85" s="127" t="s">
        <v>22</v>
      </c>
      <c r="T85" s="24">
        <f>160353+1212424</f>
        <v>1372777</v>
      </c>
      <c r="U85" s="32">
        <f>509546+1810129</f>
        <v>2319675</v>
      </c>
      <c r="V85" s="32">
        <f>1641570+519740</f>
        <v>2161310</v>
      </c>
      <c r="W85" s="32">
        <f>1597985+375228</f>
        <v>1973213</v>
      </c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</row>
    <row r="86" spans="1:148" ht="15" customHeight="1" x14ac:dyDescent="0.15">
      <c r="A86" s="48"/>
      <c r="B86" s="94"/>
      <c r="C86" s="95"/>
      <c r="D86" s="95"/>
      <c r="E86" s="95"/>
      <c r="F86" s="49"/>
      <c r="G86" s="49"/>
      <c r="H86" s="49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8"/>
      <c r="T86" s="8"/>
      <c r="U86" s="8"/>
      <c r="V86" s="8"/>
      <c r="W86" s="8"/>
    </row>
    <row r="87" spans="1:148" ht="15" customHeight="1" x14ac:dyDescent="0.15">
      <c r="A87" s="84">
        <v>5</v>
      </c>
      <c r="B87" s="86" t="s">
        <v>40</v>
      </c>
      <c r="C87" s="69">
        <f>114091+28099</f>
        <v>142190</v>
      </c>
      <c r="D87" s="69">
        <f>232779+42692</f>
        <v>275471</v>
      </c>
      <c r="E87" s="69">
        <f>243663+30812</f>
        <v>274475</v>
      </c>
      <c r="F87" s="69">
        <f>239668+32603</f>
        <v>272271</v>
      </c>
      <c r="G87" s="64">
        <f>263624+30140</f>
        <v>293764</v>
      </c>
      <c r="H87" s="64">
        <f>252496+27968</f>
        <v>280464</v>
      </c>
      <c r="I87" s="66">
        <f>274641+26193</f>
        <v>300834</v>
      </c>
      <c r="J87" s="66">
        <f>244788+26753</f>
        <v>271541</v>
      </c>
      <c r="K87" s="66">
        <f>230351+27152</f>
        <v>257503</v>
      </c>
      <c r="L87" s="66">
        <f>234170+8248</f>
        <v>242418</v>
      </c>
      <c r="M87" s="66">
        <f>243414+8107</f>
        <v>251521</v>
      </c>
      <c r="N87" s="66">
        <f>242536+7445</f>
        <v>249981</v>
      </c>
      <c r="O87" s="66">
        <f>236728+4775</f>
        <v>241503</v>
      </c>
      <c r="P87" s="66">
        <v>240135</v>
      </c>
      <c r="Q87" s="66">
        <f>232777+3957</f>
        <v>236734</v>
      </c>
      <c r="R87" s="66">
        <f>240846+5738</f>
        <v>246584</v>
      </c>
      <c r="S87" s="8">
        <f>274641+26193</f>
        <v>300834</v>
      </c>
      <c r="T87" s="19">
        <f>243414+8107</f>
        <v>251521</v>
      </c>
      <c r="U87" s="19">
        <f>232777+3957</f>
        <v>236734</v>
      </c>
      <c r="V87" s="19">
        <f>12009+241867</f>
        <v>253876</v>
      </c>
      <c r="W87" s="19">
        <f>15838+233073</f>
        <v>248911</v>
      </c>
    </row>
    <row r="88" spans="1:148" ht="15" customHeight="1" x14ac:dyDescent="0.15">
      <c r="A88" s="84">
        <v>6</v>
      </c>
      <c r="B88" s="86" t="s">
        <v>80</v>
      </c>
      <c r="C88" s="69">
        <f>323484+428428</f>
        <v>751912</v>
      </c>
      <c r="D88" s="69">
        <f>117959+2578378</f>
        <v>2696337</v>
      </c>
      <c r="E88" s="69">
        <f>97404+752244</f>
        <v>849648</v>
      </c>
      <c r="F88" s="69">
        <f>74977+990920</f>
        <v>1065897</v>
      </c>
      <c r="G88" s="64">
        <f>106656+355439</f>
        <v>462095</v>
      </c>
      <c r="H88" s="64">
        <f>148204+333470</f>
        <v>481674</v>
      </c>
      <c r="I88" s="66">
        <f>88582+265858</f>
        <v>354440</v>
      </c>
      <c r="J88" s="66">
        <f>151203+160244</f>
        <v>311447</v>
      </c>
      <c r="K88" s="66">
        <f>279337+195459</f>
        <v>474796</v>
      </c>
      <c r="L88" s="66">
        <f>234570+414092</f>
        <v>648662</v>
      </c>
      <c r="M88" s="66">
        <f>220392+349883</f>
        <v>570275</v>
      </c>
      <c r="N88" s="66">
        <f>289033+316197</f>
        <v>605230</v>
      </c>
      <c r="O88" s="66">
        <f>241237+265345</f>
        <v>506582</v>
      </c>
      <c r="P88" s="66">
        <v>464001</v>
      </c>
      <c r="Q88" s="66">
        <f>102997+225004</f>
        <v>328001</v>
      </c>
      <c r="R88" s="66">
        <f>148481+279219</f>
        <v>427700</v>
      </c>
      <c r="S88" s="8">
        <f>88582+265858</f>
        <v>354440</v>
      </c>
      <c r="T88" s="19">
        <f>220392+349883</f>
        <v>570275</v>
      </c>
      <c r="U88" s="19">
        <f>102997+225004</f>
        <v>328001</v>
      </c>
      <c r="V88" s="19">
        <f>140334+154586</f>
        <v>294920</v>
      </c>
      <c r="W88" s="19">
        <f>136716+146639</f>
        <v>283355</v>
      </c>
    </row>
    <row r="89" spans="1:148" ht="15" customHeight="1" x14ac:dyDescent="0.15">
      <c r="A89" s="84">
        <v>7</v>
      </c>
      <c r="B89" s="86" t="s">
        <v>0</v>
      </c>
      <c r="C89" s="128">
        <f t="shared" ref="C89:R89" si="16">C7+C8+C21+C40+C55+C87+C88</f>
        <v>206484718</v>
      </c>
      <c r="D89" s="128">
        <f t="shared" si="16"/>
        <v>245435299</v>
      </c>
      <c r="E89" s="128">
        <f t="shared" si="16"/>
        <v>247668977</v>
      </c>
      <c r="F89" s="128">
        <f t="shared" si="16"/>
        <v>259752837</v>
      </c>
      <c r="G89" s="64">
        <f t="shared" si="16"/>
        <v>20806612</v>
      </c>
      <c r="H89" s="64">
        <f t="shared" si="16"/>
        <v>20916406</v>
      </c>
      <c r="I89" s="85">
        <f t="shared" si="16"/>
        <v>19264769</v>
      </c>
      <c r="J89" s="85">
        <f t="shared" si="16"/>
        <v>19206120</v>
      </c>
      <c r="K89" s="85">
        <f t="shared" si="16"/>
        <v>18906237</v>
      </c>
      <c r="L89" s="85">
        <f t="shared" si="16"/>
        <v>18210285</v>
      </c>
      <c r="M89" s="85">
        <f t="shared" si="16"/>
        <v>18668839</v>
      </c>
      <c r="N89" s="85">
        <f t="shared" si="16"/>
        <v>18889131</v>
      </c>
      <c r="O89" s="85">
        <f t="shared" si="16"/>
        <v>19978776</v>
      </c>
      <c r="P89" s="85">
        <f t="shared" si="16"/>
        <v>20739936</v>
      </c>
      <c r="Q89" s="85">
        <f t="shared" si="16"/>
        <v>23170350</v>
      </c>
      <c r="R89" s="85">
        <f t="shared" si="16"/>
        <v>23372411</v>
      </c>
      <c r="S89" s="19">
        <f>S7+S8+S21+S40+S55+S87+S88</f>
        <v>19264769</v>
      </c>
      <c r="T89" s="19">
        <f>T7+T8+T21+T40+T55+T87+T88</f>
        <v>18668839</v>
      </c>
      <c r="U89" s="19">
        <f>U7+U8+U21+U40+U55+U87+U88</f>
        <v>23170350</v>
      </c>
      <c r="V89" s="19">
        <f>V7+V8+V21+V40+V55+V87+V88</f>
        <v>22776523</v>
      </c>
      <c r="W89" s="19">
        <f>W7+W8+W21+W40+W55+W87+W88</f>
        <v>23760942</v>
      </c>
    </row>
    <row r="90" spans="1:148" ht="15" customHeight="1" x14ac:dyDescent="0.15">
      <c r="A90" s="84"/>
      <c r="B90" s="86"/>
      <c r="C90" s="129"/>
      <c r="D90" s="129"/>
      <c r="E90" s="129"/>
      <c r="F90" s="129"/>
      <c r="G90" s="130"/>
      <c r="H90" s="130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11"/>
      <c r="U90" s="11"/>
      <c r="V90" s="11"/>
      <c r="W90" s="11"/>
    </row>
    <row r="91" spans="1:148" ht="15.95" customHeight="1" thickBot="1" x14ac:dyDescent="0.2">
      <c r="A91" s="48"/>
      <c r="B91" s="50"/>
      <c r="C91" s="49"/>
      <c r="D91" s="49"/>
      <c r="E91" s="49"/>
      <c r="F91" s="49"/>
      <c r="G91" s="130"/>
      <c r="H91" s="49"/>
      <c r="I91" s="49"/>
      <c r="J91" s="49"/>
      <c r="K91" s="49"/>
      <c r="L91" s="49"/>
      <c r="M91" s="49"/>
      <c r="N91" s="73"/>
      <c r="O91" s="73"/>
      <c r="P91" s="73"/>
      <c r="Q91" s="73"/>
      <c r="R91" s="73"/>
      <c r="S91" s="48"/>
    </row>
    <row r="92" spans="1:148" ht="15.95" customHeight="1" thickBot="1" x14ac:dyDescent="0.25">
      <c r="B92" s="160" t="s">
        <v>42</v>
      </c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31"/>
      <c r="N92" s="131"/>
      <c r="O92" s="131"/>
      <c r="P92" s="131"/>
      <c r="Q92" s="131"/>
      <c r="R92" s="131"/>
      <c r="S92" s="148"/>
      <c r="T92" s="148"/>
      <c r="U92" s="148"/>
      <c r="V92" s="148"/>
      <c r="W92" s="132"/>
    </row>
    <row r="93" spans="1:148" ht="11.25" x14ac:dyDescent="0.15">
      <c r="A93" s="48"/>
      <c r="B93" s="50"/>
      <c r="C93" s="49"/>
      <c r="D93" s="49"/>
      <c r="E93" s="49"/>
      <c r="F93" s="49"/>
      <c r="G93" s="49"/>
      <c r="H93" s="49"/>
      <c r="U93" s="50"/>
      <c r="V93" s="3"/>
      <c r="W93" s="3"/>
    </row>
    <row r="94" spans="1:148" ht="18.95" customHeight="1" x14ac:dyDescent="0.2">
      <c r="B94" s="42" t="s">
        <v>23</v>
      </c>
      <c r="C94" s="155">
        <v>2007</v>
      </c>
      <c r="D94" s="155">
        <v>2008</v>
      </c>
      <c r="E94" s="155">
        <v>2009</v>
      </c>
      <c r="F94" s="155">
        <v>2010</v>
      </c>
      <c r="G94" s="155">
        <v>2011</v>
      </c>
      <c r="H94" s="155">
        <v>2012</v>
      </c>
      <c r="I94" s="156">
        <v>2013</v>
      </c>
      <c r="J94" s="156" t="s">
        <v>63</v>
      </c>
      <c r="K94" s="156" t="s">
        <v>66</v>
      </c>
      <c r="L94" s="156" t="s">
        <v>67</v>
      </c>
      <c r="M94" s="156" t="s">
        <v>68</v>
      </c>
      <c r="N94" s="156" t="s">
        <v>71</v>
      </c>
      <c r="O94" s="156" t="s">
        <v>73</v>
      </c>
      <c r="P94" s="156" t="s">
        <v>74</v>
      </c>
      <c r="Q94" s="156" t="s">
        <v>75</v>
      </c>
      <c r="R94" s="156" t="s">
        <v>78</v>
      </c>
      <c r="S94" s="155">
        <v>2013</v>
      </c>
      <c r="T94" s="155">
        <v>2014</v>
      </c>
      <c r="U94" s="155">
        <v>2015</v>
      </c>
      <c r="V94" s="155">
        <v>2016</v>
      </c>
      <c r="W94" s="157">
        <v>2017</v>
      </c>
    </row>
    <row r="95" spans="1:148" ht="15.95" customHeight="1" x14ac:dyDescent="0.15">
      <c r="A95" s="48"/>
      <c r="B95" s="62" t="s">
        <v>1</v>
      </c>
      <c r="C95" s="63">
        <f>6399445+7427218</f>
        <v>13826663</v>
      </c>
      <c r="D95" s="63">
        <f>6581503+5728004</f>
        <v>12309507</v>
      </c>
      <c r="E95" s="63">
        <f>7034915+10367833</f>
        <v>17402748</v>
      </c>
      <c r="F95" s="63">
        <f>6266617+10018704</f>
        <v>16285321</v>
      </c>
      <c r="G95" s="64">
        <f>5595800+5777504</f>
        <v>11373304</v>
      </c>
      <c r="H95" s="65">
        <f>6194111+5461981</f>
        <v>11656092</v>
      </c>
      <c r="I95" s="66">
        <f>7151371+4123561-160193-40511</f>
        <v>11074228</v>
      </c>
      <c r="J95" s="66">
        <f>6849041+4801208-178014</f>
        <v>11472235</v>
      </c>
      <c r="K95" s="66">
        <f>6487832+4768567-167590-758</f>
        <v>11088051</v>
      </c>
      <c r="L95" s="66">
        <f>6234373+3968068-173400</f>
        <v>10029041</v>
      </c>
      <c r="M95" s="66">
        <f>5988147+4370217-183876</f>
        <v>10174488</v>
      </c>
      <c r="N95" s="66">
        <f>4173807+5772848</f>
        <v>9946655</v>
      </c>
      <c r="O95" s="66">
        <f>5905826+4864417</f>
        <v>10770243</v>
      </c>
      <c r="P95" s="66">
        <v>10360660</v>
      </c>
      <c r="Q95" s="66">
        <f>6948303+3527647</f>
        <v>10475950</v>
      </c>
      <c r="R95" s="66">
        <f>7216345+3659455</f>
        <v>10875800</v>
      </c>
      <c r="S95" s="8">
        <f>7151371+4123561-160193-40511</f>
        <v>11074228</v>
      </c>
      <c r="T95" s="19">
        <f>5988147+4370217-183876</f>
        <v>10174488</v>
      </c>
      <c r="U95" s="19">
        <f>6948303+3527647</f>
        <v>10475950</v>
      </c>
      <c r="V95" s="19">
        <f>3277736+7247580</f>
        <v>10525316</v>
      </c>
      <c r="W95" s="19">
        <f>3347375+8599574</f>
        <v>11946949</v>
      </c>
    </row>
    <row r="96" spans="1:148" ht="15.95" customHeight="1" x14ac:dyDescent="0.15">
      <c r="A96" s="48"/>
      <c r="B96" s="67" t="s">
        <v>2</v>
      </c>
      <c r="C96" s="65">
        <f>3521354+216926904</f>
        <v>220448258</v>
      </c>
      <c r="D96" s="65">
        <f>4479287+260316134</f>
        <v>264795421</v>
      </c>
      <c r="E96" s="65">
        <f>3213162+261723569</f>
        <v>264936731</v>
      </c>
      <c r="F96" s="65">
        <f>3691460+274335747</f>
        <v>278027207</v>
      </c>
      <c r="G96" s="64">
        <f>4296286+1862212</f>
        <v>6158498</v>
      </c>
      <c r="H96" s="65">
        <f>4301744+1848067</f>
        <v>6149811</v>
      </c>
      <c r="I96" s="66">
        <f>3378744+1817471</f>
        <v>5196215</v>
      </c>
      <c r="J96" s="66">
        <f>3173627+1884864</f>
        <v>5058491</v>
      </c>
      <c r="K96" s="66">
        <f>3152021+1771890</f>
        <v>4923911</v>
      </c>
      <c r="L96" s="66">
        <f>3154313+1911190</f>
        <v>5065503</v>
      </c>
      <c r="M96" s="66">
        <f>3368112+2130629</f>
        <v>5498741</v>
      </c>
      <c r="N96" s="66">
        <f>1955180+3488010</f>
        <v>5443190</v>
      </c>
      <c r="O96" s="66">
        <f>3356784+1734309</f>
        <v>5091093</v>
      </c>
      <c r="P96" s="66">
        <v>6863314</v>
      </c>
      <c r="Q96" s="66">
        <f>5458867+2741871</f>
        <v>8200738</v>
      </c>
      <c r="R96" s="66">
        <f>5155596+2678538</f>
        <v>7834134</v>
      </c>
      <c r="S96" s="8">
        <f>3378744+1817471</f>
        <v>5196215</v>
      </c>
      <c r="T96" s="19">
        <f>3368112+2130629</f>
        <v>5498741</v>
      </c>
      <c r="U96" s="19">
        <f>5458867+2741871</f>
        <v>8200738</v>
      </c>
      <c r="V96" s="19">
        <f>2494882+5187266</f>
        <v>7682148</v>
      </c>
      <c r="W96" s="19">
        <f>2529605+4503283</f>
        <v>7032888</v>
      </c>
    </row>
    <row r="97" spans="1:148" ht="15.95" customHeight="1" x14ac:dyDescent="0.15">
      <c r="A97" s="48"/>
      <c r="B97" s="133" t="s">
        <v>11</v>
      </c>
      <c r="C97" s="69">
        <f>C95+C96</f>
        <v>234274921</v>
      </c>
      <c r="D97" s="69">
        <f t="shared" ref="D97:M97" si="17">D95+D96</f>
        <v>277104928</v>
      </c>
      <c r="E97" s="69">
        <f t="shared" si="17"/>
        <v>282339479</v>
      </c>
      <c r="F97" s="69">
        <f t="shared" si="17"/>
        <v>294312528</v>
      </c>
      <c r="G97" s="64">
        <f t="shared" si="17"/>
        <v>17531802</v>
      </c>
      <c r="H97" s="64">
        <f t="shared" si="17"/>
        <v>17805903</v>
      </c>
      <c r="I97" s="66">
        <f t="shared" si="17"/>
        <v>16270443</v>
      </c>
      <c r="J97" s="66">
        <f t="shared" si="17"/>
        <v>16530726</v>
      </c>
      <c r="K97" s="66">
        <f t="shared" si="17"/>
        <v>16011962</v>
      </c>
      <c r="L97" s="66">
        <f t="shared" si="17"/>
        <v>15094544</v>
      </c>
      <c r="M97" s="66">
        <f t="shared" si="17"/>
        <v>15673229</v>
      </c>
      <c r="N97" s="66">
        <f>N95+N96</f>
        <v>15389845</v>
      </c>
      <c r="O97" s="66">
        <f>9262610+6598726</f>
        <v>15861336</v>
      </c>
      <c r="P97" s="66">
        <v>17223974</v>
      </c>
      <c r="Q97" s="66">
        <f>12407170+6269518</f>
        <v>18676688</v>
      </c>
      <c r="R97" s="66">
        <f>12371941+6337993</f>
        <v>18709934</v>
      </c>
      <c r="S97" s="19">
        <f>S95+S96</f>
        <v>16270443</v>
      </c>
      <c r="T97" s="19">
        <f>T95+T96</f>
        <v>15673229</v>
      </c>
      <c r="U97" s="19">
        <f>12407170+6269518</f>
        <v>18676688</v>
      </c>
      <c r="V97" s="19">
        <f t="shared" ref="V97" si="18">+V96+V95</f>
        <v>18207464</v>
      </c>
      <c r="W97" s="19">
        <f>5876980+13102857</f>
        <v>18979837</v>
      </c>
    </row>
    <row r="98" spans="1:148" ht="15" customHeight="1" x14ac:dyDescent="0.15">
      <c r="A98" s="48"/>
      <c r="B98" s="28"/>
      <c r="C98" s="90"/>
      <c r="D98" s="90"/>
      <c r="E98" s="90"/>
      <c r="F98" s="90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8"/>
      <c r="T98" s="8"/>
      <c r="U98" s="8"/>
      <c r="V98" s="8"/>
      <c r="W98" s="8"/>
    </row>
    <row r="99" spans="1:148" ht="15" customHeight="1" x14ac:dyDescent="0.15">
      <c r="A99" s="48">
        <v>8</v>
      </c>
      <c r="B99" s="133" t="s">
        <v>8</v>
      </c>
      <c r="C99" s="65">
        <f>934619+38121</f>
        <v>972740</v>
      </c>
      <c r="D99" s="65">
        <f>931406+53704</f>
        <v>985110</v>
      </c>
      <c r="E99" s="65">
        <f>949528+384856</f>
        <v>1334384</v>
      </c>
      <c r="F99" s="65">
        <f>1110588+1608408</f>
        <v>2718996</v>
      </c>
      <c r="G99" s="69">
        <f>1057923+1841905</f>
        <v>2899828</v>
      </c>
      <c r="H99" s="65">
        <f>1237588+1641017</f>
        <v>2878605</v>
      </c>
      <c r="I99" s="73">
        <f>1637710+1301854-160193-40511</f>
        <v>2738860</v>
      </c>
      <c r="J99" s="73">
        <f>1906381+1303228-178014</f>
        <v>3031595</v>
      </c>
      <c r="K99" s="73">
        <f>1791148+1345221-167590-758</f>
        <v>2968021</v>
      </c>
      <c r="L99" s="75">
        <f>1775350+1392971-173400</f>
        <v>2994921</v>
      </c>
      <c r="M99" s="75">
        <f>1964819+1224733-183876</f>
        <v>3005676</v>
      </c>
      <c r="N99" s="75">
        <f>1169897+1696332</f>
        <v>2866229</v>
      </c>
      <c r="O99" s="75">
        <f>1747725+878289</f>
        <v>2626014</v>
      </c>
      <c r="P99" s="73">
        <v>2973917</v>
      </c>
      <c r="Q99" s="73">
        <f>2406190+1074126</f>
        <v>3480316</v>
      </c>
      <c r="R99" s="73">
        <f>2539148+1094400</f>
        <v>3633548</v>
      </c>
      <c r="S99" s="8">
        <f>1637710+1301854-160193-40511</f>
        <v>2738860</v>
      </c>
      <c r="T99" s="19">
        <f>1964819+1224733-183876</f>
        <v>3005676</v>
      </c>
      <c r="U99" s="19">
        <f>2406190+1074126</f>
        <v>3480316</v>
      </c>
      <c r="V99" s="19">
        <f t="shared" ref="V99" si="19">SUM(V100:V107)</f>
        <v>3578329</v>
      </c>
      <c r="W99" s="19">
        <f t="shared" ref="W99" si="20">SUM(W100:W107)</f>
        <v>3459813</v>
      </c>
    </row>
    <row r="100" spans="1:148" ht="15" customHeight="1" x14ac:dyDescent="0.15">
      <c r="A100" s="48"/>
      <c r="B100" s="28" t="s">
        <v>3</v>
      </c>
      <c r="C100" s="72">
        <v>6226</v>
      </c>
      <c r="D100" s="72">
        <v>15628</v>
      </c>
      <c r="E100" s="72">
        <v>26886</v>
      </c>
      <c r="F100" s="72">
        <v>27443</v>
      </c>
      <c r="G100" s="71">
        <v>-8560</v>
      </c>
      <c r="H100" s="72">
        <v>-67425</v>
      </c>
      <c r="I100" s="75">
        <f>198075-160193-40511</f>
        <v>-2629</v>
      </c>
      <c r="J100" s="75">
        <f>238260-178014</f>
        <v>60246</v>
      </c>
      <c r="K100" s="75">
        <f>208101-167590-758</f>
        <v>39753</v>
      </c>
      <c r="L100" s="75">
        <f>210260-173400</f>
        <v>36860</v>
      </c>
      <c r="M100" s="75">
        <f>250398-183876</f>
        <v>66522</v>
      </c>
      <c r="N100" s="75">
        <v>52556</v>
      </c>
      <c r="O100" s="75">
        <v>38052</v>
      </c>
      <c r="P100" s="75">
        <v>45520</v>
      </c>
      <c r="Q100" s="75">
        <v>73014</v>
      </c>
      <c r="R100" s="76">
        <v>52815</v>
      </c>
      <c r="S100" s="24">
        <f>198075-160193-40511</f>
        <v>-2629</v>
      </c>
      <c r="T100" s="32">
        <f>250398-183876</f>
        <v>66522</v>
      </c>
      <c r="U100" s="32">
        <v>73014</v>
      </c>
      <c r="V100" s="32">
        <v>51662</v>
      </c>
      <c r="W100" s="32">
        <v>93191</v>
      </c>
    </row>
    <row r="101" spans="1:148" ht="15" customHeight="1" x14ac:dyDescent="0.15">
      <c r="A101" s="48"/>
      <c r="B101" s="77" t="s">
        <v>21</v>
      </c>
      <c r="C101" s="72">
        <v>5737</v>
      </c>
      <c r="D101" s="72">
        <v>4948</v>
      </c>
      <c r="E101" s="72">
        <v>12815</v>
      </c>
      <c r="F101" s="72">
        <v>15989</v>
      </c>
      <c r="G101" s="71">
        <v>25570</v>
      </c>
      <c r="H101" s="72">
        <v>30799</v>
      </c>
      <c r="I101" s="75">
        <f>54320</f>
        <v>54320</v>
      </c>
      <c r="J101" s="75">
        <v>72410</v>
      </c>
      <c r="K101" s="75">
        <v>91947</v>
      </c>
      <c r="L101" s="75">
        <v>68463</v>
      </c>
      <c r="M101" s="75">
        <v>63194</v>
      </c>
      <c r="N101" s="75">
        <v>83738</v>
      </c>
      <c r="O101" s="75">
        <v>92459</v>
      </c>
      <c r="P101" s="79">
        <v>79957</v>
      </c>
      <c r="Q101" s="79">
        <v>72018</v>
      </c>
      <c r="R101" s="79">
        <v>76448</v>
      </c>
      <c r="S101" s="24">
        <f>54320</f>
        <v>54320</v>
      </c>
      <c r="T101" s="32">
        <v>63194</v>
      </c>
      <c r="U101" s="32">
        <v>72018</v>
      </c>
      <c r="V101" s="32">
        <v>95229</v>
      </c>
      <c r="W101" s="32">
        <v>98280</v>
      </c>
    </row>
    <row r="102" spans="1:148" s="20" customFormat="1" ht="15" customHeight="1" x14ac:dyDescent="0.15">
      <c r="A102" s="84"/>
      <c r="B102" s="2" t="s">
        <v>19</v>
      </c>
      <c r="C102" s="134">
        <v>458800</v>
      </c>
      <c r="D102" s="134">
        <v>679240</v>
      </c>
      <c r="E102" s="134">
        <v>550098</v>
      </c>
      <c r="F102" s="134">
        <v>446317</v>
      </c>
      <c r="G102" s="134">
        <v>555262</v>
      </c>
      <c r="H102" s="134">
        <v>647629</v>
      </c>
      <c r="I102" s="66">
        <f>691567+106394</f>
        <v>797961</v>
      </c>
      <c r="J102" s="66">
        <f>739935+128621</f>
        <v>868556</v>
      </c>
      <c r="K102" s="66">
        <f>661745+156791</f>
        <v>818536</v>
      </c>
      <c r="L102" s="66">
        <f>685355+156207</f>
        <v>841562</v>
      </c>
      <c r="M102" s="66">
        <f>770537+204485</f>
        <v>975022</v>
      </c>
      <c r="N102" s="66">
        <v>687496</v>
      </c>
      <c r="O102" s="66">
        <v>648317</v>
      </c>
      <c r="P102" s="66">
        <v>668552</v>
      </c>
      <c r="Q102" s="66">
        <v>801190</v>
      </c>
      <c r="R102" s="66">
        <v>931659</v>
      </c>
      <c r="S102" s="24">
        <f>691567+106394</f>
        <v>797961</v>
      </c>
      <c r="T102" s="32">
        <f>770537+204485</f>
        <v>975022</v>
      </c>
      <c r="U102" s="32">
        <v>801190</v>
      </c>
      <c r="V102" s="32">
        <v>1011618</v>
      </c>
      <c r="W102" s="32">
        <v>1013911</v>
      </c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</row>
    <row r="103" spans="1:148" ht="15" customHeight="1" x14ac:dyDescent="0.15">
      <c r="A103" s="48"/>
      <c r="B103" s="80" t="s">
        <v>12</v>
      </c>
      <c r="C103" s="71" t="s">
        <v>22</v>
      </c>
      <c r="D103" s="71" t="s">
        <v>22</v>
      </c>
      <c r="E103" s="71" t="s">
        <v>22</v>
      </c>
      <c r="F103" s="71">
        <v>6</v>
      </c>
      <c r="G103" s="72">
        <v>6</v>
      </c>
      <c r="H103" s="72">
        <v>5</v>
      </c>
      <c r="I103" s="73">
        <v>6</v>
      </c>
      <c r="J103" s="73">
        <v>6</v>
      </c>
      <c r="K103" s="73">
        <v>6</v>
      </c>
      <c r="L103" s="73">
        <v>6</v>
      </c>
      <c r="M103" s="73">
        <v>6</v>
      </c>
      <c r="N103" s="73">
        <v>6</v>
      </c>
      <c r="O103" s="73">
        <v>6</v>
      </c>
      <c r="P103" s="73">
        <v>-127</v>
      </c>
      <c r="Q103" s="73">
        <v>-183</v>
      </c>
      <c r="R103" s="73">
        <v>6</v>
      </c>
      <c r="S103" s="17">
        <v>6</v>
      </c>
      <c r="T103" s="32">
        <v>6</v>
      </c>
      <c r="U103" s="32">
        <v>-183</v>
      </c>
      <c r="V103" s="32">
        <v>6</v>
      </c>
      <c r="W103" s="32">
        <v>6</v>
      </c>
    </row>
    <row r="104" spans="1:148" ht="15" customHeight="1" x14ac:dyDescent="0.15">
      <c r="A104" s="48"/>
      <c r="B104" s="28" t="s">
        <v>25</v>
      </c>
      <c r="C104" s="72">
        <v>43337</v>
      </c>
      <c r="D104" s="72">
        <f>25094+12</f>
        <v>25106</v>
      </c>
      <c r="E104" s="72">
        <v>26097</v>
      </c>
      <c r="F104" s="72">
        <v>21874</v>
      </c>
      <c r="G104" s="71">
        <f>10857+4101</f>
        <v>14958</v>
      </c>
      <c r="H104" s="72">
        <f>36334+68</f>
        <v>36402</v>
      </c>
      <c r="I104" s="73">
        <f>51841+39</f>
        <v>51880</v>
      </c>
      <c r="J104" s="73">
        <f>51531+174</f>
        <v>51705</v>
      </c>
      <c r="K104" s="73">
        <f>57945+4+5149</f>
        <v>63098</v>
      </c>
      <c r="L104" s="73">
        <f>64748+49</f>
        <v>64797</v>
      </c>
      <c r="M104" s="73">
        <f>40013+25423+14</f>
        <v>65450</v>
      </c>
      <c r="N104" s="73">
        <v>54702</v>
      </c>
      <c r="O104" s="73">
        <v>73542</v>
      </c>
      <c r="P104" s="73">
        <v>23468</v>
      </c>
      <c r="Q104" s="73">
        <v>11735</v>
      </c>
      <c r="R104" s="73">
        <f>11950+81</f>
        <v>12031</v>
      </c>
      <c r="S104" s="24">
        <f>51841+39</f>
        <v>51880</v>
      </c>
      <c r="T104" s="32">
        <f>40013+25423+14</f>
        <v>65450</v>
      </c>
      <c r="U104" s="32">
        <v>11735</v>
      </c>
      <c r="V104" s="32">
        <f>15470+7675</f>
        <v>23145</v>
      </c>
      <c r="W104" s="32">
        <f>19461+1531</f>
        <v>20992</v>
      </c>
    </row>
    <row r="105" spans="1:148" ht="15" customHeight="1" x14ac:dyDescent="0.15">
      <c r="A105" s="48"/>
      <c r="B105" s="28" t="s">
        <v>46</v>
      </c>
      <c r="C105" s="72">
        <v>19</v>
      </c>
      <c r="D105" s="72">
        <v>0</v>
      </c>
      <c r="E105" s="72">
        <f>10339+4514</f>
        <v>14853</v>
      </c>
      <c r="F105" s="72">
        <f>6221+6023</f>
        <v>12244</v>
      </c>
      <c r="G105" s="71">
        <v>16049</v>
      </c>
      <c r="H105" s="72">
        <v>16141</v>
      </c>
      <c r="I105" s="75">
        <f>2069+1098</f>
        <v>3167</v>
      </c>
      <c r="J105" s="75">
        <f>7570+1701</f>
        <v>9271</v>
      </c>
      <c r="K105" s="75">
        <f>4410+763</f>
        <v>5173</v>
      </c>
      <c r="L105" s="75">
        <f>13935+2926</f>
        <v>16861</v>
      </c>
      <c r="M105" s="75">
        <f>3735+2559</f>
        <v>6294</v>
      </c>
      <c r="N105" s="75">
        <v>21446</v>
      </c>
      <c r="O105" s="75">
        <v>2842</v>
      </c>
      <c r="P105" s="75">
        <v>14059</v>
      </c>
      <c r="Q105" s="75">
        <v>8791</v>
      </c>
      <c r="R105" s="75">
        <v>6839</v>
      </c>
      <c r="S105" s="24">
        <f>2069+1098</f>
        <v>3167</v>
      </c>
      <c r="T105" s="32">
        <f>3735+2559</f>
        <v>6294</v>
      </c>
      <c r="U105" s="32">
        <v>8791</v>
      </c>
      <c r="V105" s="32">
        <v>7049</v>
      </c>
      <c r="W105" s="32">
        <f>148+16099</f>
        <v>16247</v>
      </c>
    </row>
    <row r="106" spans="1:148" ht="15" customHeight="1" x14ac:dyDescent="0.15">
      <c r="A106" s="48"/>
      <c r="B106" s="28" t="s">
        <v>64</v>
      </c>
      <c r="C106" s="72">
        <f>138671+37708</f>
        <v>176379</v>
      </c>
      <c r="D106" s="72">
        <f>68237+45533</f>
        <v>113770</v>
      </c>
      <c r="E106" s="72">
        <f>153215+368255</f>
        <v>521470</v>
      </c>
      <c r="F106" s="72">
        <f>257507+1580077</f>
        <v>1837584</v>
      </c>
      <c r="G106" s="71">
        <f>16049+269629+1777957+180-16049</f>
        <v>2047766</v>
      </c>
      <c r="H106" s="72">
        <f>338283+1559005-16141</f>
        <v>1881147</v>
      </c>
      <c r="I106" s="75">
        <f>330247+1187024</f>
        <v>1517271</v>
      </c>
      <c r="J106" s="75">
        <f>430800+1154976</f>
        <v>1585776</v>
      </c>
      <c r="K106" s="75">
        <f>371538+1177401</f>
        <v>1548939</v>
      </c>
      <c r="L106" s="75">
        <f>336273+1223786</f>
        <v>1560059</v>
      </c>
      <c r="M106" s="75">
        <f>282563+1003623</f>
        <v>1286186</v>
      </c>
      <c r="N106" s="75">
        <f>314160+1159292</f>
        <v>1473452</v>
      </c>
      <c r="O106" s="75">
        <f>423328+868111</f>
        <v>1291439</v>
      </c>
      <c r="P106" s="75">
        <f>965652+722804</f>
        <v>1688456</v>
      </c>
      <c r="Q106" s="75">
        <f>928522+1064117</f>
        <v>1992639</v>
      </c>
      <c r="R106" s="75">
        <f>928913+1085388</f>
        <v>2014301</v>
      </c>
      <c r="S106" s="24">
        <f>330247+1187024</f>
        <v>1517271</v>
      </c>
      <c r="T106" s="32">
        <f>282563+1003623</f>
        <v>1286186</v>
      </c>
      <c r="U106" s="32">
        <f>928522+1064117</f>
        <v>1992639</v>
      </c>
      <c r="V106" s="32">
        <f>994064+890004</f>
        <v>1884068</v>
      </c>
      <c r="W106" s="32">
        <f>876313+762204</f>
        <v>1638517</v>
      </c>
    </row>
    <row r="107" spans="1:148" ht="15" customHeight="1" x14ac:dyDescent="0.15">
      <c r="A107" s="48"/>
      <c r="B107" s="2" t="s">
        <v>88</v>
      </c>
      <c r="C107" s="72">
        <f>282099+143</f>
        <v>282242</v>
      </c>
      <c r="D107" s="72">
        <f>144670+1748</f>
        <v>146418</v>
      </c>
      <c r="E107" s="72">
        <f>180155+2010</f>
        <v>182165</v>
      </c>
      <c r="F107" s="72">
        <f>349880+7659</f>
        <v>357539</v>
      </c>
      <c r="G107" s="71">
        <f>237236+11541</f>
        <v>248777</v>
      </c>
      <c r="H107" s="72">
        <f>325522+8385</f>
        <v>333907</v>
      </c>
      <c r="I107" s="89">
        <f>309585+7299</f>
        <v>316884</v>
      </c>
      <c r="J107" s="89">
        <f>365869+17756</f>
        <v>383625</v>
      </c>
      <c r="K107" s="89">
        <f>390307+10262</f>
        <v>400569</v>
      </c>
      <c r="L107" s="89">
        <f>396310+10003</f>
        <v>406313</v>
      </c>
      <c r="M107" s="89">
        <f>528950+14052</f>
        <v>543002</v>
      </c>
      <c r="N107" s="89">
        <f>482228+10605</f>
        <v>492833</v>
      </c>
      <c r="O107" s="89">
        <f>469179+10178</f>
        <v>479357</v>
      </c>
      <c r="P107" s="89">
        <v>454032</v>
      </c>
      <c r="Q107" s="89">
        <f>511103+10009</f>
        <v>521112</v>
      </c>
      <c r="R107" s="89">
        <f>530437+9012</f>
        <v>539449</v>
      </c>
      <c r="S107" s="24">
        <f>309585+7299</f>
        <v>316884</v>
      </c>
      <c r="T107" s="32">
        <f>528950+14052</f>
        <v>543002</v>
      </c>
      <c r="U107" s="32">
        <f>511103+10009</f>
        <v>521112</v>
      </c>
      <c r="V107" s="32">
        <f>4895+500657</f>
        <v>505552</v>
      </c>
      <c r="W107" s="32">
        <f>3053+575616</f>
        <v>578669</v>
      </c>
    </row>
    <row r="108" spans="1:148" ht="15" customHeight="1" x14ac:dyDescent="0.15">
      <c r="A108" s="48"/>
      <c r="B108" s="77"/>
      <c r="C108" s="66"/>
      <c r="D108" s="66"/>
      <c r="E108" s="66"/>
      <c r="F108" s="66"/>
      <c r="G108" s="130"/>
      <c r="H108" s="130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T108" s="3"/>
      <c r="V108" s="3"/>
      <c r="W108" s="3"/>
    </row>
    <row r="109" spans="1:148" ht="15" customHeight="1" x14ac:dyDescent="0.15">
      <c r="A109" s="48">
        <v>9</v>
      </c>
      <c r="B109" s="133" t="s">
        <v>9</v>
      </c>
      <c r="C109" s="65">
        <f>1848042+5856141</f>
        <v>7704183</v>
      </c>
      <c r="D109" s="65">
        <f>2623012+4453770</f>
        <v>7076782</v>
      </c>
      <c r="E109" s="65">
        <f>2363696+6562612</f>
        <v>8926308</v>
      </c>
      <c r="F109" s="65">
        <f>2363042+4770856</f>
        <v>7133898</v>
      </c>
      <c r="G109" s="69">
        <f>2212752+3144881</f>
        <v>5357633</v>
      </c>
      <c r="H109" s="65">
        <f>2984629+3342725</f>
        <v>6327354</v>
      </c>
      <c r="I109" s="75">
        <f>3570274+2468076</f>
        <v>6038350</v>
      </c>
      <c r="J109" s="75">
        <f>2828892+3114358</f>
        <v>5943250</v>
      </c>
      <c r="K109" s="75">
        <f>2689785+3051184</f>
        <v>5740969</v>
      </c>
      <c r="L109" s="75">
        <f>2544685+2198046</f>
        <v>4742731</v>
      </c>
      <c r="M109" s="75">
        <f>2222876+2793525</f>
        <v>5016401</v>
      </c>
      <c r="N109" s="75">
        <f>2154693+2581113</f>
        <v>4735806</v>
      </c>
      <c r="O109" s="75">
        <f>2344575+3597837</f>
        <v>5942412</v>
      </c>
      <c r="P109" s="75">
        <v>4998414</v>
      </c>
      <c r="Q109" s="75">
        <f>2476899+2040876</f>
        <v>4517775</v>
      </c>
      <c r="R109" s="75">
        <f>2639986+2130416</f>
        <v>4770402</v>
      </c>
      <c r="S109" s="8">
        <f>3570274+2468076</f>
        <v>6038350</v>
      </c>
      <c r="T109" s="19">
        <f>2222876+2793525</f>
        <v>5016401</v>
      </c>
      <c r="U109" s="19">
        <f>2476899+2040876</f>
        <v>4517775</v>
      </c>
      <c r="V109" s="19">
        <f>SUM(V110:V117)</f>
        <v>4551497</v>
      </c>
      <c r="W109" s="19">
        <f t="shared" ref="W109" si="21">SUM(W110:W117)</f>
        <v>5296851</v>
      </c>
    </row>
    <row r="110" spans="1:148" ht="15" customHeight="1" x14ac:dyDescent="0.15">
      <c r="A110" s="84"/>
      <c r="B110" s="28" t="s">
        <v>3</v>
      </c>
      <c r="C110" s="3">
        <v>807</v>
      </c>
      <c r="D110" s="3">
        <v>64</v>
      </c>
      <c r="E110" s="3">
        <v>0</v>
      </c>
      <c r="F110" s="3">
        <v>16</v>
      </c>
      <c r="G110" s="11">
        <v>10756</v>
      </c>
      <c r="H110" s="11">
        <v>39056</v>
      </c>
      <c r="I110" s="66">
        <f>26+0</f>
        <v>26</v>
      </c>
      <c r="J110" s="66">
        <v>25</v>
      </c>
      <c r="K110" s="66">
        <v>29</v>
      </c>
      <c r="L110" s="66">
        <v>25</v>
      </c>
      <c r="M110" s="66">
        <v>785</v>
      </c>
      <c r="N110" s="66">
        <v>310</v>
      </c>
      <c r="O110" s="66">
        <v>1797</v>
      </c>
      <c r="P110" s="66">
        <v>1564</v>
      </c>
      <c r="Q110" s="66">
        <v>1680</v>
      </c>
      <c r="R110" s="66">
        <v>42840</v>
      </c>
      <c r="S110" s="24">
        <f>26+0</f>
        <v>26</v>
      </c>
      <c r="T110" s="24">
        <v>785</v>
      </c>
      <c r="U110" s="13">
        <v>1680</v>
      </c>
      <c r="V110" s="24">
        <v>909</v>
      </c>
      <c r="W110" s="32">
        <v>15832</v>
      </c>
    </row>
    <row r="111" spans="1:148" ht="15" customHeight="1" x14ac:dyDescent="0.15">
      <c r="A111" s="84"/>
      <c r="B111" s="2" t="s">
        <v>21</v>
      </c>
      <c r="C111" s="135">
        <v>5882</v>
      </c>
      <c r="D111" s="135">
        <v>14130</v>
      </c>
      <c r="E111" s="11">
        <v>18310</v>
      </c>
      <c r="F111" s="135">
        <v>12091</v>
      </c>
      <c r="G111" s="11">
        <v>15153</v>
      </c>
      <c r="H111" s="11">
        <v>48042</v>
      </c>
      <c r="I111" s="66">
        <f>16160+0</f>
        <v>16160</v>
      </c>
      <c r="J111" s="66">
        <v>19524</v>
      </c>
      <c r="K111" s="66">
        <v>4653</v>
      </c>
      <c r="L111" s="66">
        <v>5248</v>
      </c>
      <c r="M111" s="66">
        <v>6868</v>
      </c>
      <c r="N111" s="66">
        <v>9559</v>
      </c>
      <c r="O111" s="66">
        <v>9613</v>
      </c>
      <c r="P111" s="85">
        <v>9614</v>
      </c>
      <c r="Q111" s="85">
        <v>9258</v>
      </c>
      <c r="R111" s="85">
        <v>9898</v>
      </c>
      <c r="S111" s="24">
        <f>16160+0</f>
        <v>16160</v>
      </c>
      <c r="T111" s="24">
        <v>6868</v>
      </c>
      <c r="U111" s="13">
        <v>9258</v>
      </c>
      <c r="V111" s="24">
        <v>2001</v>
      </c>
      <c r="W111" s="32">
        <v>2681</v>
      </c>
    </row>
    <row r="112" spans="1:148" ht="15" customHeight="1" x14ac:dyDescent="0.15">
      <c r="A112" s="48"/>
      <c r="B112" s="50" t="s">
        <v>18</v>
      </c>
      <c r="C112" s="72">
        <f>589162+2371</f>
        <v>591533</v>
      </c>
      <c r="D112" s="72">
        <f>667113+100427</f>
        <v>767540</v>
      </c>
      <c r="E112" s="72">
        <v>845704</v>
      </c>
      <c r="F112" s="72">
        <v>951751</v>
      </c>
      <c r="G112" s="72">
        <v>854029</v>
      </c>
      <c r="H112" s="72">
        <v>914122</v>
      </c>
      <c r="I112" s="73">
        <f>729569+0</f>
        <v>729569</v>
      </c>
      <c r="J112" s="73">
        <v>645632</v>
      </c>
      <c r="K112" s="73">
        <v>736395</v>
      </c>
      <c r="L112" s="73">
        <v>674282</v>
      </c>
      <c r="M112" s="73">
        <v>626259</v>
      </c>
      <c r="N112" s="73">
        <v>639098</v>
      </c>
      <c r="O112" s="73">
        <v>772940</v>
      </c>
      <c r="P112" s="73">
        <v>694380</v>
      </c>
      <c r="Q112" s="73">
        <v>709325</v>
      </c>
      <c r="R112" s="73">
        <v>710811</v>
      </c>
      <c r="S112" s="24">
        <f>729569+0</f>
        <v>729569</v>
      </c>
      <c r="T112" s="24">
        <v>626259</v>
      </c>
      <c r="U112" s="13">
        <v>709325</v>
      </c>
      <c r="V112" s="24">
        <v>819516</v>
      </c>
      <c r="W112" s="32">
        <v>1326981</v>
      </c>
    </row>
    <row r="113" spans="1:23" ht="15" customHeight="1" x14ac:dyDescent="0.15">
      <c r="A113" s="48"/>
      <c r="B113" s="50" t="s">
        <v>12</v>
      </c>
      <c r="C113" s="72" t="s">
        <v>22</v>
      </c>
      <c r="D113" s="72" t="s">
        <v>22</v>
      </c>
      <c r="E113" s="72" t="s">
        <v>22</v>
      </c>
      <c r="F113" s="72">
        <v>10873</v>
      </c>
      <c r="G113" s="72">
        <v>13384</v>
      </c>
      <c r="H113" s="72">
        <v>6780</v>
      </c>
      <c r="I113" s="73">
        <f>12341+0</f>
        <v>12341</v>
      </c>
      <c r="J113" s="73">
        <v>11837</v>
      </c>
      <c r="K113" s="73">
        <v>11976</v>
      </c>
      <c r="L113" s="73">
        <v>14084</v>
      </c>
      <c r="M113" s="73">
        <v>11358</v>
      </c>
      <c r="N113" s="73">
        <v>11126</v>
      </c>
      <c r="O113" s="75">
        <v>13905</v>
      </c>
      <c r="P113" s="75">
        <v>11753</v>
      </c>
      <c r="Q113" s="75">
        <v>17225</v>
      </c>
      <c r="R113" s="75">
        <v>20592</v>
      </c>
      <c r="S113" s="17">
        <f>12341+0</f>
        <v>12341</v>
      </c>
      <c r="T113" s="24">
        <v>11358</v>
      </c>
      <c r="U113" s="13">
        <v>17225</v>
      </c>
      <c r="V113" s="24">
        <v>18728</v>
      </c>
      <c r="W113" s="32">
        <v>22253</v>
      </c>
    </row>
    <row r="114" spans="1:23" ht="15" customHeight="1" x14ac:dyDescent="0.15">
      <c r="A114" s="48"/>
      <c r="B114" s="50" t="s">
        <v>25</v>
      </c>
      <c r="C114" s="72">
        <v>14180</v>
      </c>
      <c r="D114" s="72">
        <f>10818+180</f>
        <v>10998</v>
      </c>
      <c r="E114" s="72">
        <v>1622</v>
      </c>
      <c r="F114" s="72">
        <v>3963</v>
      </c>
      <c r="G114" s="72">
        <f>490+2533</f>
        <v>3023</v>
      </c>
      <c r="H114" s="72">
        <v>4974</v>
      </c>
      <c r="I114" s="75">
        <f>9777+0</f>
        <v>9777</v>
      </c>
      <c r="J114" s="75">
        <v>18443</v>
      </c>
      <c r="K114" s="75">
        <v>8749</v>
      </c>
      <c r="L114" s="75">
        <v>9334</v>
      </c>
      <c r="M114" s="75">
        <v>7555</v>
      </c>
      <c r="N114" s="75">
        <v>2918</v>
      </c>
      <c r="O114" s="75">
        <v>2950</v>
      </c>
      <c r="P114" s="75">
        <v>3016</v>
      </c>
      <c r="Q114" s="75">
        <v>1648</v>
      </c>
      <c r="R114" s="75">
        <v>183</v>
      </c>
      <c r="S114" s="24">
        <f>9777+0</f>
        <v>9777</v>
      </c>
      <c r="T114" s="24">
        <v>7555</v>
      </c>
      <c r="U114" s="13">
        <v>1648</v>
      </c>
      <c r="V114" s="24">
        <v>218</v>
      </c>
      <c r="W114" s="32">
        <f>517+581</f>
        <v>1098</v>
      </c>
    </row>
    <row r="115" spans="1:23" ht="15" customHeight="1" x14ac:dyDescent="0.15">
      <c r="A115" s="48"/>
      <c r="B115" s="50" t="s">
        <v>46</v>
      </c>
      <c r="C115" s="72" t="s">
        <v>22</v>
      </c>
      <c r="D115" s="72" t="s">
        <v>22</v>
      </c>
      <c r="E115" s="72">
        <v>20403</v>
      </c>
      <c r="F115" s="72">
        <v>7988</v>
      </c>
      <c r="G115" s="72">
        <v>6405</v>
      </c>
      <c r="H115" s="72">
        <v>10686</v>
      </c>
      <c r="I115" s="75">
        <f>24840+2</f>
        <v>24842</v>
      </c>
      <c r="J115" s="75">
        <f>21790+3</f>
        <v>21793</v>
      </c>
      <c r="K115" s="75">
        <f>18351+3</f>
        <v>18354</v>
      </c>
      <c r="L115" s="75">
        <f>10929+2</f>
        <v>10931</v>
      </c>
      <c r="M115" s="75">
        <v>21238</v>
      </c>
      <c r="N115" s="75">
        <v>6507</v>
      </c>
      <c r="O115" s="75">
        <v>6304</v>
      </c>
      <c r="P115" s="75">
        <v>7890</v>
      </c>
      <c r="Q115" s="75">
        <v>5916</v>
      </c>
      <c r="R115" s="75">
        <v>5695</v>
      </c>
      <c r="S115" s="24">
        <f>24840+2</f>
        <v>24842</v>
      </c>
      <c r="T115" s="24">
        <v>21238</v>
      </c>
      <c r="U115" s="13">
        <v>5916</v>
      </c>
      <c r="V115" s="24">
        <v>15160</v>
      </c>
      <c r="W115" s="32">
        <v>16253</v>
      </c>
    </row>
    <row r="116" spans="1:23" ht="15" customHeight="1" x14ac:dyDescent="0.15">
      <c r="A116" s="48"/>
      <c r="B116" s="50" t="s">
        <v>64</v>
      </c>
      <c r="C116" s="72">
        <f>865222+5853013</f>
        <v>6718235</v>
      </c>
      <c r="D116" s="72">
        <f>1494141+4344472</f>
        <v>5838613</v>
      </c>
      <c r="E116" s="72">
        <f>878319+6562610</f>
        <v>7440929</v>
      </c>
      <c r="F116" s="72">
        <f>722195+4770074</f>
        <v>5492269</v>
      </c>
      <c r="G116" s="72">
        <f>6405+548430+3143982-6405</f>
        <v>3692412</v>
      </c>
      <c r="H116" s="72">
        <f>1167586+3341123-10686</f>
        <v>4498023</v>
      </c>
      <c r="I116" s="75">
        <f>1944883+2466808</f>
        <v>4411691</v>
      </c>
      <c r="J116" s="75">
        <f>1279393+3110701</f>
        <v>4390094</v>
      </c>
      <c r="K116" s="75">
        <f>1011545+3043370</f>
        <v>4054915</v>
      </c>
      <c r="L116" s="75">
        <f>963100+2189959</f>
        <v>3153059</v>
      </c>
      <c r="M116" s="75">
        <f>446765+2786676</f>
        <v>3233441</v>
      </c>
      <c r="N116" s="75">
        <f>419425+2572230</f>
        <v>2991655</v>
      </c>
      <c r="O116" s="75">
        <f>723374+3590208</f>
        <v>4313582</v>
      </c>
      <c r="P116" s="75">
        <v>3449016</v>
      </c>
      <c r="Q116" s="75">
        <f>881969+2040878</f>
        <v>2922847</v>
      </c>
      <c r="R116" s="75">
        <f>955861+2130416</f>
        <v>3086277</v>
      </c>
      <c r="S116" s="24">
        <f>1944883+2466808</f>
        <v>4411691</v>
      </c>
      <c r="T116" s="24">
        <f>446765+2786676</f>
        <v>3233441</v>
      </c>
      <c r="U116" s="13">
        <f>881969+2040878</f>
        <v>2922847</v>
      </c>
      <c r="V116" s="13">
        <f>1988866+710206</f>
        <v>2699072</v>
      </c>
      <c r="W116" s="32">
        <f>2044032+931899</f>
        <v>2975931</v>
      </c>
    </row>
    <row r="117" spans="1:23" ht="15" customHeight="1" x14ac:dyDescent="0.15">
      <c r="A117" s="48"/>
      <c r="B117" s="2" t="s">
        <v>88</v>
      </c>
      <c r="C117" s="72">
        <f>372789+757</f>
        <v>373546</v>
      </c>
      <c r="D117" s="72">
        <f>436746+8691</f>
        <v>445437</v>
      </c>
      <c r="E117" s="72">
        <v>599340</v>
      </c>
      <c r="F117" s="72">
        <f>654165+782</f>
        <v>654947</v>
      </c>
      <c r="G117" s="72">
        <f>761572+899</f>
        <v>762471</v>
      </c>
      <c r="H117" s="72">
        <f>804069+1602</f>
        <v>805671</v>
      </c>
      <c r="I117" s="73">
        <f>832678+1266</f>
        <v>833944</v>
      </c>
      <c r="J117" s="75">
        <f>832248+3654</f>
        <v>835902</v>
      </c>
      <c r="K117" s="75">
        <f>898087+7814</f>
        <v>905901</v>
      </c>
      <c r="L117" s="75">
        <f>867683+8085</f>
        <v>875768</v>
      </c>
      <c r="M117" s="75">
        <f>1102048+6849</f>
        <v>1108897</v>
      </c>
      <c r="N117" s="75">
        <f>1065751+8883</f>
        <v>1074634</v>
      </c>
      <c r="O117" s="75">
        <f>813692+7629</f>
        <v>821321</v>
      </c>
      <c r="P117" s="75">
        <v>821181</v>
      </c>
      <c r="Q117" s="75">
        <v>849876</v>
      </c>
      <c r="R117" s="75">
        <f>894106+0</f>
        <v>894106</v>
      </c>
      <c r="S117" s="24">
        <f>832678+1266</f>
        <v>833944</v>
      </c>
      <c r="T117" s="24">
        <f>1102048+6849</f>
        <v>1108897</v>
      </c>
      <c r="U117" s="13">
        <v>849876</v>
      </c>
      <c r="V117" s="13">
        <v>995893</v>
      </c>
      <c r="W117" s="32">
        <v>935822</v>
      </c>
    </row>
    <row r="118" spans="1:23" ht="15" customHeight="1" x14ac:dyDescent="0.15">
      <c r="A118" s="48"/>
      <c r="B118" s="28"/>
      <c r="C118" s="66"/>
      <c r="D118" s="66"/>
      <c r="E118" s="66"/>
      <c r="F118" s="66"/>
      <c r="G118" s="130"/>
      <c r="H118" s="130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T118" s="3"/>
      <c r="V118" s="3"/>
      <c r="W118" s="32"/>
    </row>
    <row r="119" spans="1:23" ht="15" customHeight="1" x14ac:dyDescent="0.15">
      <c r="A119" s="48">
        <v>10</v>
      </c>
      <c r="B119" s="133" t="s">
        <v>10</v>
      </c>
      <c r="C119" s="65">
        <f>3616784+1532956</f>
        <v>5149740</v>
      </c>
      <c r="D119" s="65">
        <f>3027084+1220530</f>
        <v>4247614</v>
      </c>
      <c r="E119" s="65">
        <f>3721691+3420366</f>
        <v>7142057</v>
      </c>
      <c r="F119" s="65">
        <f>2792987+3639440</f>
        <v>6432427</v>
      </c>
      <c r="G119" s="69">
        <f>2325125+790718</f>
        <v>3115843</v>
      </c>
      <c r="H119" s="65">
        <f>1971894+478239</f>
        <v>2450133</v>
      </c>
      <c r="I119" s="66">
        <f>1943387+353631</f>
        <v>2297018</v>
      </c>
      <c r="J119" s="66">
        <f>2113768+383622</f>
        <v>2497390</v>
      </c>
      <c r="K119" s="66">
        <f>2006899+372162</f>
        <v>2379061</v>
      </c>
      <c r="L119" s="66">
        <f>1914338+377051</f>
        <v>2291389</v>
      </c>
      <c r="M119" s="66">
        <f>1800452+351959</f>
        <v>2152411</v>
      </c>
      <c r="N119" s="66">
        <f>1921623+422797</f>
        <v>2344420</v>
      </c>
      <c r="O119" s="66">
        <f>1813524+388291</f>
        <v>2201815</v>
      </c>
      <c r="P119" s="91">
        <v>2388329</v>
      </c>
      <c r="Q119" s="91">
        <v>2477860</v>
      </c>
      <c r="R119" s="91">
        <f>2037211+434639</f>
        <v>2471850</v>
      </c>
      <c r="S119" s="8">
        <f>1943387+353631</f>
        <v>2297018</v>
      </c>
      <c r="T119" s="19">
        <f>1800452+351959</f>
        <v>2152411</v>
      </c>
      <c r="U119" s="19">
        <f>2065215+412645</f>
        <v>2477860</v>
      </c>
      <c r="V119" s="19">
        <f>SUM(V120:V127)</f>
        <v>2395490</v>
      </c>
      <c r="W119" s="19">
        <f t="shared" ref="W119" si="22">SUM(W120:W127)</f>
        <v>3190285</v>
      </c>
    </row>
    <row r="120" spans="1:23" ht="15" customHeight="1" x14ac:dyDescent="0.15">
      <c r="A120" s="48"/>
      <c r="B120" s="28" t="s">
        <v>3</v>
      </c>
      <c r="C120" s="135">
        <v>376432</v>
      </c>
      <c r="D120" s="135">
        <v>90767</v>
      </c>
      <c r="E120" s="11">
        <v>93971</v>
      </c>
      <c r="F120" s="135">
        <v>103072</v>
      </c>
      <c r="G120" s="11">
        <v>96972</v>
      </c>
      <c r="H120" s="11">
        <v>94118</v>
      </c>
      <c r="I120" s="66">
        <v>142276</v>
      </c>
      <c r="J120" s="66">
        <v>246812</v>
      </c>
      <c r="K120" s="66">
        <v>228342</v>
      </c>
      <c r="L120" s="66">
        <v>210497</v>
      </c>
      <c r="M120" s="66">
        <v>200286</v>
      </c>
      <c r="N120" s="66">
        <v>391028</v>
      </c>
      <c r="O120" s="66">
        <v>376216</v>
      </c>
      <c r="P120" s="66">
        <v>315921</v>
      </c>
      <c r="Q120" s="66">
        <v>467623</v>
      </c>
      <c r="R120" s="66">
        <v>445344</v>
      </c>
      <c r="S120" s="24">
        <v>142276</v>
      </c>
      <c r="T120" s="32">
        <v>200286</v>
      </c>
      <c r="U120" s="32">
        <v>467623</v>
      </c>
      <c r="V120" s="32">
        <v>413585</v>
      </c>
      <c r="W120" s="32">
        <v>808383</v>
      </c>
    </row>
    <row r="121" spans="1:23" ht="15" customHeight="1" x14ac:dyDescent="0.15">
      <c r="A121" s="48"/>
      <c r="B121" s="80" t="s">
        <v>21</v>
      </c>
      <c r="C121" s="72">
        <v>13725</v>
      </c>
      <c r="D121" s="72">
        <v>24267</v>
      </c>
      <c r="E121" s="72">
        <v>19885</v>
      </c>
      <c r="F121" s="72">
        <v>26946</v>
      </c>
      <c r="G121" s="72">
        <v>29695</v>
      </c>
      <c r="H121" s="72">
        <v>29131</v>
      </c>
      <c r="I121" s="75">
        <f>32318+0</f>
        <v>32318</v>
      </c>
      <c r="J121" s="75">
        <v>64961</v>
      </c>
      <c r="K121" s="75">
        <v>73657</v>
      </c>
      <c r="L121" s="75">
        <v>50950</v>
      </c>
      <c r="M121" s="75">
        <v>42691</v>
      </c>
      <c r="N121" s="75">
        <v>41199</v>
      </c>
      <c r="O121" s="75">
        <v>33597</v>
      </c>
      <c r="P121" s="73">
        <v>60546</v>
      </c>
      <c r="Q121" s="73">
        <v>38083</v>
      </c>
      <c r="R121" s="73">
        <v>155413</v>
      </c>
      <c r="S121" s="24">
        <f>32318+0</f>
        <v>32318</v>
      </c>
      <c r="T121" s="32">
        <v>42691</v>
      </c>
      <c r="U121" s="32">
        <v>38083</v>
      </c>
      <c r="V121" s="32">
        <v>239350</v>
      </c>
      <c r="W121" s="32">
        <v>55201</v>
      </c>
    </row>
    <row r="122" spans="1:23" ht="15" customHeight="1" x14ac:dyDescent="0.15">
      <c r="A122" s="48"/>
      <c r="B122" s="28" t="s">
        <v>18</v>
      </c>
      <c r="C122" s="72">
        <f>980769+276910</f>
        <v>1257679</v>
      </c>
      <c r="D122" s="72">
        <f>1307105+141996</f>
        <v>1449101</v>
      </c>
      <c r="E122" s="72">
        <f>1228681+366061</f>
        <v>1594742</v>
      </c>
      <c r="F122" s="72">
        <f>1195487+274761</f>
        <v>1470248</v>
      </c>
      <c r="G122" s="72">
        <f>619469+17090</f>
        <v>636559</v>
      </c>
      <c r="H122" s="72">
        <f>514417+14172</f>
        <v>528589</v>
      </c>
      <c r="I122" s="73">
        <f>573536+14410</f>
        <v>587946</v>
      </c>
      <c r="J122" s="73">
        <f>629146+17799</f>
        <v>646945</v>
      </c>
      <c r="K122" s="73">
        <f>554961+12834</f>
        <v>567795</v>
      </c>
      <c r="L122" s="73">
        <f>540981+11445</f>
        <v>552426</v>
      </c>
      <c r="M122" s="73">
        <f>394264+11324</f>
        <v>405588</v>
      </c>
      <c r="N122" s="73">
        <v>360474</v>
      </c>
      <c r="O122" s="73">
        <v>406632</v>
      </c>
      <c r="P122" s="73">
        <v>514902</v>
      </c>
      <c r="Q122" s="73">
        <v>455632</v>
      </c>
      <c r="R122" s="73">
        <v>348755</v>
      </c>
      <c r="S122" s="24">
        <f>573536+14410</f>
        <v>587946</v>
      </c>
      <c r="T122" s="32">
        <f>394264+11324</f>
        <v>405588</v>
      </c>
      <c r="U122" s="32">
        <v>455632</v>
      </c>
      <c r="V122" s="32">
        <v>312116</v>
      </c>
      <c r="W122" s="32">
        <v>525257</v>
      </c>
    </row>
    <row r="123" spans="1:23" ht="15" customHeight="1" x14ac:dyDescent="0.15">
      <c r="A123" s="48"/>
      <c r="B123" s="28" t="s">
        <v>12</v>
      </c>
      <c r="C123" s="92" t="s">
        <v>22</v>
      </c>
      <c r="D123" s="92" t="s">
        <v>22</v>
      </c>
      <c r="E123" s="92" t="s">
        <v>22</v>
      </c>
      <c r="F123" s="92">
        <v>1838</v>
      </c>
      <c r="G123" s="74">
        <v>1840</v>
      </c>
      <c r="H123" s="72">
        <v>1923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5860</v>
      </c>
      <c r="P123" s="73">
        <v>5861</v>
      </c>
      <c r="Q123" s="73">
        <v>5862</v>
      </c>
      <c r="R123" s="73">
        <v>0</v>
      </c>
      <c r="S123" s="17">
        <v>0</v>
      </c>
      <c r="T123" s="32">
        <v>0</v>
      </c>
      <c r="U123" s="32">
        <v>5862</v>
      </c>
      <c r="V123" s="32">
        <v>5878</v>
      </c>
      <c r="W123" s="32">
        <v>10680</v>
      </c>
    </row>
    <row r="124" spans="1:23" ht="15" customHeight="1" x14ac:dyDescent="0.15">
      <c r="A124" s="48"/>
      <c r="B124" s="28" t="s">
        <v>33</v>
      </c>
      <c r="C124" s="92">
        <v>13652</v>
      </c>
      <c r="D124" s="72">
        <f>29469+33350</f>
        <v>62819</v>
      </c>
      <c r="E124" s="72">
        <v>13737</v>
      </c>
      <c r="F124" s="72">
        <v>9427</v>
      </c>
      <c r="G124" s="72">
        <f>1738+4404</f>
        <v>6142</v>
      </c>
      <c r="H124" s="72">
        <v>29641</v>
      </c>
      <c r="I124" s="73">
        <f>32982+0</f>
        <v>32982</v>
      </c>
      <c r="J124" s="73">
        <v>31957</v>
      </c>
      <c r="K124" s="73">
        <f>33491+1342</f>
        <v>34833</v>
      </c>
      <c r="L124" s="73">
        <v>44962</v>
      </c>
      <c r="M124" s="73">
        <f>39382+2573</f>
        <v>41955</v>
      </c>
      <c r="N124" s="73">
        <v>51773</v>
      </c>
      <c r="O124" s="73">
        <v>30941</v>
      </c>
      <c r="P124" s="73">
        <v>29430</v>
      </c>
      <c r="Q124" s="73">
        <v>15291</v>
      </c>
      <c r="R124" s="73">
        <f>7263+8449</f>
        <v>15712</v>
      </c>
      <c r="S124" s="24">
        <f>32982+0</f>
        <v>32982</v>
      </c>
      <c r="T124" s="32">
        <f>39382+2573</f>
        <v>41955</v>
      </c>
      <c r="U124" s="32">
        <v>15291</v>
      </c>
      <c r="V124" s="32">
        <f>8087+11</f>
        <v>8098</v>
      </c>
      <c r="W124" s="32">
        <f>5410+21328</f>
        <v>26738</v>
      </c>
    </row>
    <row r="125" spans="1:23" ht="15" customHeight="1" x14ac:dyDescent="0.15">
      <c r="A125" s="48"/>
      <c r="B125" s="77" t="s">
        <v>46</v>
      </c>
      <c r="C125" s="136" t="s">
        <v>22</v>
      </c>
      <c r="D125" s="136" t="s">
        <v>22</v>
      </c>
      <c r="E125" s="72">
        <v>79396</v>
      </c>
      <c r="F125" s="72">
        <v>61232</v>
      </c>
      <c r="G125" s="72">
        <v>22496</v>
      </c>
      <c r="H125" s="72">
        <v>14927</v>
      </c>
      <c r="I125" s="89">
        <f>38789+120</f>
        <v>38909</v>
      </c>
      <c r="J125" s="137">
        <v>31940</v>
      </c>
      <c r="K125" s="137">
        <v>39687</v>
      </c>
      <c r="L125" s="137">
        <v>35896</v>
      </c>
      <c r="M125" s="137">
        <f>19516+14809</f>
        <v>34325</v>
      </c>
      <c r="N125" s="137">
        <f>18939+20011</f>
        <v>38950</v>
      </c>
      <c r="O125" s="137">
        <v>16975</v>
      </c>
      <c r="P125" s="137">
        <v>20643</v>
      </c>
      <c r="Q125" s="137">
        <v>34947</v>
      </c>
      <c r="R125" s="137">
        <v>4521</v>
      </c>
      <c r="S125" s="24">
        <f>38789+120</f>
        <v>38909</v>
      </c>
      <c r="T125" s="32">
        <f>19516+14809</f>
        <v>34325</v>
      </c>
      <c r="U125" s="32">
        <v>34947</v>
      </c>
      <c r="V125" s="32">
        <f>93062+11474</f>
        <v>104536</v>
      </c>
      <c r="W125" s="32">
        <f>78483+9316</f>
        <v>87799</v>
      </c>
    </row>
    <row r="126" spans="1:23" ht="15" customHeight="1" x14ac:dyDescent="0.15">
      <c r="A126" s="48"/>
      <c r="B126" s="77" t="s">
        <v>64</v>
      </c>
      <c r="C126" s="72">
        <f>1094531+1247017</f>
        <v>2341548</v>
      </c>
      <c r="D126" s="72">
        <f>609859+1014891+469</f>
        <v>1625219</v>
      </c>
      <c r="E126" s="72">
        <f>764718+3051091</f>
        <v>3815809</v>
      </c>
      <c r="F126" s="72">
        <f>558142+3354820</f>
        <v>3912962</v>
      </c>
      <c r="G126" s="72">
        <f>22496+488836+766764-22496</f>
        <v>1255600</v>
      </c>
      <c r="H126" s="72">
        <f>388330+457036-14927</f>
        <v>830439</v>
      </c>
      <c r="I126" s="89">
        <f>333949+319489</f>
        <v>653438</v>
      </c>
      <c r="J126" s="137">
        <f>304165+355152</f>
        <v>659317</v>
      </c>
      <c r="K126" s="137">
        <f>268113+348218</f>
        <v>616331</v>
      </c>
      <c r="L126" s="137">
        <f>276097+354919</f>
        <v>631016</v>
      </c>
      <c r="M126" s="137">
        <f>234405+315377</f>
        <v>549782</v>
      </c>
      <c r="N126" s="137">
        <f>240481+393395</f>
        <v>633876</v>
      </c>
      <c r="O126" s="137">
        <f>230604+377399</f>
        <v>608003</v>
      </c>
      <c r="P126" s="137">
        <v>749041</v>
      </c>
      <c r="Q126" s="137">
        <f>332048+406265</f>
        <v>738313</v>
      </c>
      <c r="R126" s="137">
        <f>407003+428471</f>
        <v>835474</v>
      </c>
      <c r="S126" s="24">
        <f>333949+319489</f>
        <v>653438</v>
      </c>
      <c r="T126" s="32">
        <f>234405+315377</f>
        <v>549782</v>
      </c>
      <c r="U126" s="32">
        <f>332048+406265</f>
        <v>738313</v>
      </c>
      <c r="V126" s="32">
        <f>194775+405011</f>
        <v>599786</v>
      </c>
      <c r="W126" s="32">
        <f>337391+501031</f>
        <v>838422</v>
      </c>
    </row>
    <row r="127" spans="1:23" ht="15" customHeight="1" x14ac:dyDescent="0.15">
      <c r="A127" s="48"/>
      <c r="B127" s="2" t="s">
        <v>88</v>
      </c>
      <c r="C127" s="135">
        <f>1137675+9029</f>
        <v>1146704</v>
      </c>
      <c r="D127" s="135">
        <f>965617+29824</f>
        <v>995441</v>
      </c>
      <c r="E127" s="11">
        <f>1521303+3214</f>
        <v>1524517</v>
      </c>
      <c r="F127" s="135">
        <f>836843+9859</f>
        <v>846702</v>
      </c>
      <c r="G127" s="72">
        <f>1059675+6864</f>
        <v>1066539</v>
      </c>
      <c r="H127" s="72">
        <f>914334+7031</f>
        <v>921365</v>
      </c>
      <c r="I127" s="93">
        <f>789537+19612</f>
        <v>809149</v>
      </c>
      <c r="J127" s="93">
        <f>804787+10671</f>
        <v>815458</v>
      </c>
      <c r="K127" s="90">
        <f>807306+11110</f>
        <v>818416</v>
      </c>
      <c r="L127" s="93">
        <f>754955+10687</f>
        <v>765642</v>
      </c>
      <c r="M127" s="75">
        <f>867335+10449</f>
        <v>877784</v>
      </c>
      <c r="N127" s="75">
        <f>817728+9391</f>
        <v>827119</v>
      </c>
      <c r="O127" s="75">
        <f>712699+10892</f>
        <v>723591</v>
      </c>
      <c r="P127" s="85">
        <v>691985</v>
      </c>
      <c r="Q127" s="85">
        <f>715729+6380</f>
        <v>722109</v>
      </c>
      <c r="R127" s="85">
        <f>660463+6168</f>
        <v>666631</v>
      </c>
      <c r="S127" s="24">
        <f>789537+19612</f>
        <v>809149</v>
      </c>
      <c r="T127" s="32">
        <f>867335+10449</f>
        <v>877784</v>
      </c>
      <c r="U127" s="32">
        <f>715729+6380</f>
        <v>722109</v>
      </c>
      <c r="V127" s="32">
        <f>2074+710067</f>
        <v>712141</v>
      </c>
      <c r="W127" s="32">
        <f>7955+829850</f>
        <v>837805</v>
      </c>
    </row>
    <row r="128" spans="1:23" ht="15" customHeight="1" x14ac:dyDescent="0.15">
      <c r="A128" s="84"/>
      <c r="B128" s="62"/>
      <c r="C128" s="138"/>
      <c r="D128" s="90"/>
      <c r="E128" s="90"/>
      <c r="F128" s="73"/>
      <c r="G128" s="130"/>
      <c r="H128" s="130"/>
      <c r="I128" s="66" t="s">
        <v>60</v>
      </c>
      <c r="J128" s="66" t="s">
        <v>60</v>
      </c>
      <c r="K128" s="66" t="s">
        <v>60</v>
      </c>
      <c r="L128" s="66" t="s">
        <v>60</v>
      </c>
      <c r="M128" s="66" t="s">
        <v>60</v>
      </c>
      <c r="N128" s="66" t="s">
        <v>60</v>
      </c>
      <c r="O128" s="66" t="s">
        <v>60</v>
      </c>
      <c r="P128" s="66"/>
      <c r="Q128" s="66"/>
      <c r="R128" s="66"/>
      <c r="S128" s="8" t="s">
        <v>60</v>
      </c>
      <c r="T128" s="8" t="s">
        <v>60</v>
      </c>
      <c r="U128" s="8"/>
      <c r="V128" s="8"/>
      <c r="W128" s="8"/>
    </row>
    <row r="129" spans="1:23" ht="15" customHeight="1" x14ac:dyDescent="0.15">
      <c r="A129" s="48">
        <v>11</v>
      </c>
      <c r="B129" s="62" t="s">
        <v>39</v>
      </c>
      <c r="C129" s="69">
        <f>3521354+216926904</f>
        <v>220448258</v>
      </c>
      <c r="D129" s="69">
        <f>4479287+260316134</f>
        <v>264795421</v>
      </c>
      <c r="E129" s="69">
        <f>3213162+261723569</f>
        <v>264936731</v>
      </c>
      <c r="F129" s="65">
        <f>3691460+274335747</f>
        <v>278027207</v>
      </c>
      <c r="G129" s="65">
        <f>4296286+1862212</f>
        <v>6158498</v>
      </c>
      <c r="H129" s="65">
        <f>4301744+1848067</f>
        <v>6149811</v>
      </c>
      <c r="I129" s="66">
        <f>3378744+1817471</f>
        <v>5196215</v>
      </c>
      <c r="J129" s="66">
        <f>3173627+1884864</f>
        <v>5058491</v>
      </c>
      <c r="K129" s="66">
        <f>3152021+1771890</f>
        <v>4923911</v>
      </c>
      <c r="L129" s="66">
        <f>3154313+1911190</f>
        <v>5065503</v>
      </c>
      <c r="M129" s="66">
        <f>3368112+2130629</f>
        <v>5498741</v>
      </c>
      <c r="N129" s="66">
        <f>3488010+1955180</f>
        <v>5443190</v>
      </c>
      <c r="O129" s="66">
        <f>3356784+1734309</f>
        <v>5091093</v>
      </c>
      <c r="P129" s="66">
        <v>6863314</v>
      </c>
      <c r="Q129" s="66">
        <f>5458867+2741871</f>
        <v>8200738</v>
      </c>
      <c r="R129" s="66">
        <f>5155596+2678538</f>
        <v>7834134</v>
      </c>
      <c r="S129" s="8">
        <f>3378744+1817471</f>
        <v>5196215</v>
      </c>
      <c r="T129" s="19">
        <f>3368112+2130629</f>
        <v>5498741</v>
      </c>
      <c r="U129" s="19">
        <f>5458867+2741871</f>
        <v>8200738</v>
      </c>
      <c r="V129" s="19">
        <f>SUM(V130:V134)</f>
        <v>6682148</v>
      </c>
      <c r="W129" s="19">
        <f t="shared" ref="W129" si="23">SUM(W130:W134)</f>
        <v>7032888</v>
      </c>
    </row>
    <row r="130" spans="1:23" ht="15" customHeight="1" x14ac:dyDescent="0.15">
      <c r="A130" s="48"/>
      <c r="B130" s="50" t="s">
        <v>20</v>
      </c>
      <c r="C130" s="72">
        <f>3521354+216926904</f>
        <v>220448258</v>
      </c>
      <c r="D130" s="72">
        <f>4479287+260316134</f>
        <v>264795421</v>
      </c>
      <c r="E130" s="72">
        <v>264936731</v>
      </c>
      <c r="F130" s="72">
        <f>533385+239276697</f>
        <v>239810082</v>
      </c>
      <c r="G130" s="72">
        <f>2229534+363501</f>
        <v>2593035</v>
      </c>
      <c r="H130" s="72">
        <f>355247+1977930</f>
        <v>2333177</v>
      </c>
      <c r="I130" s="75">
        <f>2049603+36</f>
        <v>2049639</v>
      </c>
      <c r="J130" s="75">
        <f>1908045+105</f>
        <v>1908150</v>
      </c>
      <c r="K130" s="75">
        <f>2003986+495725</f>
        <v>2499711</v>
      </c>
      <c r="L130" s="75">
        <f>2040595+494560</f>
        <v>2535155</v>
      </c>
      <c r="M130" s="75">
        <f>2053697+679</f>
        <v>2054376</v>
      </c>
      <c r="N130" s="75">
        <v>2123903</v>
      </c>
      <c r="O130" s="75">
        <v>1918207</v>
      </c>
      <c r="P130" s="75">
        <v>3563731</v>
      </c>
      <c r="Q130" s="75">
        <v>3396078</v>
      </c>
      <c r="R130" s="75">
        <v>3278413</v>
      </c>
      <c r="S130" s="32">
        <f>2049603+36</f>
        <v>2049639</v>
      </c>
      <c r="T130" s="32">
        <f>2053697+679</f>
        <v>2054376</v>
      </c>
      <c r="U130" s="32">
        <v>3396078</v>
      </c>
      <c r="V130" s="32">
        <f>427+3021343</f>
        <v>3021770</v>
      </c>
      <c r="W130" s="32">
        <v>2466260</v>
      </c>
    </row>
    <row r="131" spans="1:23" ht="15" customHeight="1" x14ac:dyDescent="0.15">
      <c r="A131" s="48"/>
      <c r="B131" s="50" t="s">
        <v>47</v>
      </c>
      <c r="C131" s="74" t="s">
        <v>22</v>
      </c>
      <c r="D131" s="74" t="s">
        <v>22</v>
      </c>
      <c r="E131" s="74" t="s">
        <v>22</v>
      </c>
      <c r="F131" s="72">
        <v>35059050</v>
      </c>
      <c r="G131" s="72">
        <v>1498711</v>
      </c>
      <c r="H131" s="72">
        <v>251007</v>
      </c>
      <c r="I131" s="75">
        <f>96+317</f>
        <v>413</v>
      </c>
      <c r="J131" s="75">
        <f>2158+522862</f>
        <v>525020</v>
      </c>
      <c r="K131" s="75">
        <f>3025+26</f>
        <v>3051</v>
      </c>
      <c r="L131" s="75">
        <f>1945+435</f>
        <v>2380</v>
      </c>
      <c r="M131" s="75">
        <v>1658</v>
      </c>
      <c r="N131" s="75">
        <v>1708</v>
      </c>
      <c r="O131" s="75">
        <f>1108+8901</f>
        <v>10009</v>
      </c>
      <c r="P131" s="75">
        <v>16170</v>
      </c>
      <c r="Q131" s="75">
        <f>-9693+646835</f>
        <v>637142</v>
      </c>
      <c r="R131" s="75">
        <f>235+677544</f>
        <v>677779</v>
      </c>
      <c r="S131" s="32">
        <f>96+317</f>
        <v>413</v>
      </c>
      <c r="T131" s="32">
        <v>1658</v>
      </c>
      <c r="U131" s="32">
        <f>-9693+646835</f>
        <v>637142</v>
      </c>
      <c r="V131" s="32">
        <v>7933</v>
      </c>
      <c r="W131" s="32">
        <f>708+48888</f>
        <v>49596</v>
      </c>
    </row>
    <row r="132" spans="1:23" ht="15" customHeight="1" x14ac:dyDescent="0.15">
      <c r="A132" s="48"/>
      <c r="B132" s="50" t="s">
        <v>64</v>
      </c>
      <c r="C132" s="74" t="s">
        <v>22</v>
      </c>
      <c r="D132" s="74" t="s">
        <v>22</v>
      </c>
      <c r="E132" s="74" t="s">
        <v>22</v>
      </c>
      <c r="F132" s="88">
        <v>0</v>
      </c>
      <c r="G132" s="88">
        <v>0</v>
      </c>
      <c r="H132" s="72">
        <f>391628+47566</f>
        <v>439194</v>
      </c>
      <c r="I132" s="73">
        <f>101601+1258528</f>
        <v>1360129</v>
      </c>
      <c r="J132" s="73">
        <f>65575+674737</f>
        <v>740312</v>
      </c>
      <c r="K132" s="73">
        <f>112683+575979</f>
        <v>688662</v>
      </c>
      <c r="L132" s="73">
        <f>115721+620481</f>
        <v>736202</v>
      </c>
      <c r="M132" s="75">
        <f>156598+1273244</f>
        <v>1429842</v>
      </c>
      <c r="N132" s="75">
        <f>146177+1047724</f>
        <v>1193901</v>
      </c>
      <c r="O132" s="75">
        <f>197171+655725</f>
        <v>852896</v>
      </c>
      <c r="P132" s="75">
        <v>1048591</v>
      </c>
      <c r="Q132" s="75">
        <f>349014+517386</f>
        <v>866400</v>
      </c>
      <c r="R132" s="75">
        <f>502327+356423</f>
        <v>858750</v>
      </c>
      <c r="S132" s="32">
        <f>101601+1258528</f>
        <v>1360129</v>
      </c>
      <c r="T132" s="32">
        <f>156598+1273244</f>
        <v>1429842</v>
      </c>
      <c r="U132" s="32">
        <f>349014+517386</f>
        <v>866400</v>
      </c>
      <c r="V132" s="32">
        <f>480791+623617</f>
        <v>1104408</v>
      </c>
      <c r="W132" s="32">
        <f>607931+452021</f>
        <v>1059952</v>
      </c>
    </row>
    <row r="133" spans="1:23" s="21" customFormat="1" ht="15" customHeight="1" x14ac:dyDescent="0.15">
      <c r="A133" s="29"/>
      <c r="B133" s="21" t="s">
        <v>82</v>
      </c>
      <c r="C133" s="139" t="s">
        <v>22</v>
      </c>
      <c r="D133" s="139" t="s">
        <v>22</v>
      </c>
      <c r="E133" s="139" t="s">
        <v>22</v>
      </c>
      <c r="F133" s="139">
        <v>3158075</v>
      </c>
      <c r="G133" s="140">
        <v>1383370</v>
      </c>
      <c r="H133" s="140">
        <f>256651+1759253</f>
        <v>2015904</v>
      </c>
      <c r="I133" s="141" t="s">
        <v>22</v>
      </c>
      <c r="J133" s="141">
        <f>586404+470316</f>
        <v>1056720</v>
      </c>
      <c r="K133" s="141">
        <f>387135+480833</f>
        <v>867968</v>
      </c>
      <c r="L133" s="141">
        <f>395676+544704</f>
        <v>940380</v>
      </c>
      <c r="M133" s="141">
        <f>433380+710156</f>
        <v>1143536</v>
      </c>
      <c r="N133" s="141">
        <f>587861+810354</f>
        <v>1398215</v>
      </c>
      <c r="O133" s="141">
        <f>519213+1007643</f>
        <v>1526856</v>
      </c>
      <c r="P133" s="141">
        <v>1983716</v>
      </c>
      <c r="Q133" s="141">
        <f>1063987+1572839</f>
        <v>2636826</v>
      </c>
      <c r="R133" s="141">
        <f>983765+1643756</f>
        <v>2627521</v>
      </c>
      <c r="S133" s="142">
        <f>745372+304338</f>
        <v>1049710</v>
      </c>
      <c r="T133" s="32">
        <f>433380+710156</f>
        <v>1143536</v>
      </c>
      <c r="U133" s="32">
        <f>1063987+1572839</f>
        <v>2636826</v>
      </c>
      <c r="V133" s="32">
        <f>886060+114018</f>
        <v>1000078</v>
      </c>
      <c r="W133" s="32">
        <f>949354+864233</f>
        <v>1813587</v>
      </c>
    </row>
    <row r="134" spans="1:23" s="21" customFormat="1" ht="15" customHeight="1" x14ac:dyDescent="0.15">
      <c r="A134" s="29"/>
      <c r="B134" s="21" t="s">
        <v>84</v>
      </c>
      <c r="C134" s="139" t="s">
        <v>22</v>
      </c>
      <c r="D134" s="139" t="s">
        <v>22</v>
      </c>
      <c r="E134" s="139" t="s">
        <v>22</v>
      </c>
      <c r="F134" s="139" t="s">
        <v>22</v>
      </c>
      <c r="G134" s="140">
        <v>683382</v>
      </c>
      <c r="H134" s="140">
        <f>593534+516995</f>
        <v>1110529</v>
      </c>
      <c r="I134" s="21" t="s">
        <v>22</v>
      </c>
      <c r="J134" s="21">
        <f>611445+216844</f>
        <v>828289</v>
      </c>
      <c r="K134" s="21">
        <f>645192+219327</f>
        <v>864519</v>
      </c>
      <c r="L134" s="21">
        <f>600376+251010</f>
        <v>851386</v>
      </c>
      <c r="M134" s="21">
        <f>722779+146550</f>
        <v>869329</v>
      </c>
      <c r="N134" s="21">
        <f>628361+97102</f>
        <v>725463</v>
      </c>
      <c r="O134" s="21">
        <f>721085+62040</f>
        <v>783125</v>
      </c>
      <c r="P134" s="143">
        <v>251106</v>
      </c>
      <c r="Q134" s="143">
        <f>659481+4811</f>
        <v>664292</v>
      </c>
      <c r="R134" s="143">
        <f>390856+815</f>
        <v>391671</v>
      </c>
      <c r="S134" s="142">
        <f>482072+254252</f>
        <v>736324</v>
      </c>
      <c r="T134" s="32">
        <f>722779+146550</f>
        <v>869329</v>
      </c>
      <c r="U134" s="32">
        <f>659481+4811</f>
        <v>664292</v>
      </c>
      <c r="V134" s="32">
        <f>1127604+420355</f>
        <v>1547959</v>
      </c>
      <c r="W134" s="32">
        <f>971612+671881</f>
        <v>1643493</v>
      </c>
    </row>
    <row r="135" spans="1:23" ht="12" customHeight="1" x14ac:dyDescent="0.15">
      <c r="A135" s="48"/>
      <c r="B135" s="62"/>
      <c r="C135" s="95"/>
      <c r="D135" s="95"/>
      <c r="E135" s="95"/>
      <c r="F135" s="130"/>
      <c r="G135" s="130"/>
      <c r="H135" s="130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45"/>
      <c r="T135" s="45"/>
      <c r="U135" s="45"/>
      <c r="V135" s="45"/>
      <c r="W135" s="45"/>
    </row>
    <row r="136" spans="1:23" ht="15.95" customHeight="1" x14ac:dyDescent="0.15">
      <c r="A136" s="84">
        <v>12</v>
      </c>
      <c r="B136" s="62" t="s">
        <v>58</v>
      </c>
      <c r="C136" s="96">
        <v>0</v>
      </c>
      <c r="D136" s="96">
        <v>0</v>
      </c>
      <c r="E136" s="96">
        <v>0</v>
      </c>
      <c r="F136" s="96">
        <v>0</v>
      </c>
      <c r="G136" s="96">
        <v>0</v>
      </c>
      <c r="H136" s="65">
        <v>2481</v>
      </c>
      <c r="I136" s="73">
        <f>41+288688</f>
        <v>288729</v>
      </c>
      <c r="J136" s="73">
        <f>0+144747</f>
        <v>144747</v>
      </c>
      <c r="K136" s="73">
        <v>287998</v>
      </c>
      <c r="L136" s="73">
        <f>114000+45748</f>
        <v>159748</v>
      </c>
      <c r="M136" s="73">
        <v>320965</v>
      </c>
      <c r="N136" s="73">
        <v>964464</v>
      </c>
      <c r="O136" s="73">
        <f>0+1606534</f>
        <v>1606534</v>
      </c>
      <c r="P136" s="75">
        <v>1778743</v>
      </c>
      <c r="Q136" s="75">
        <v>1706616</v>
      </c>
      <c r="R136" s="75">
        <f>74049+1758693</f>
        <v>1832742</v>
      </c>
      <c r="S136" s="8">
        <f>41+288688</f>
        <v>288729</v>
      </c>
      <c r="T136" s="19">
        <v>320965</v>
      </c>
      <c r="U136" s="19">
        <v>1706618</v>
      </c>
      <c r="V136" s="19">
        <v>1645002</v>
      </c>
      <c r="W136" s="19">
        <f>1553758+57061</f>
        <v>1610819</v>
      </c>
    </row>
    <row r="137" spans="1:23" ht="15.95" customHeight="1" x14ac:dyDescent="0.15">
      <c r="A137" s="84">
        <v>13</v>
      </c>
      <c r="B137" s="62" t="s">
        <v>6</v>
      </c>
      <c r="C137" s="64">
        <f>348851+1760923</f>
        <v>2109774</v>
      </c>
      <c r="D137" s="64">
        <f>489498+2870257</f>
        <v>3359755</v>
      </c>
      <c r="E137" s="64">
        <f>310185+887601</f>
        <v>1197786</v>
      </c>
      <c r="F137" s="64">
        <f>195236+1596820</f>
        <v>1792056</v>
      </c>
      <c r="G137" s="64">
        <f>169013+751979</f>
        <v>920992</v>
      </c>
      <c r="H137" s="64">
        <f>176499+705239</f>
        <v>881738</v>
      </c>
      <c r="I137" s="75">
        <f>167113+735065-288688</f>
        <v>613490</v>
      </c>
      <c r="J137" s="75">
        <f>75694+358747</f>
        <v>434441</v>
      </c>
      <c r="K137" s="75">
        <f>225466+238213</f>
        <v>463679</v>
      </c>
      <c r="L137" s="75">
        <f>306256+584886</f>
        <v>891142</v>
      </c>
      <c r="M137" s="75">
        <f>177372+534567</f>
        <v>711939</v>
      </c>
      <c r="N137" s="75">
        <f>235737+487819</f>
        <v>723556</v>
      </c>
      <c r="O137" s="75">
        <f>295073+469417</f>
        <v>764490</v>
      </c>
      <c r="P137" s="75">
        <v>752506</v>
      </c>
      <c r="Q137" s="75">
        <f>175748+429598+3</f>
        <v>605349</v>
      </c>
      <c r="R137" s="75">
        <f>235450+397794</f>
        <v>633244</v>
      </c>
      <c r="S137" s="8">
        <f>167113+735065-288688</f>
        <v>613490</v>
      </c>
      <c r="T137" s="19">
        <f>177372+534567</f>
        <v>711939</v>
      </c>
      <c r="U137" s="19">
        <f>175750+429598+1</f>
        <v>605349</v>
      </c>
      <c r="V137" s="19">
        <f>486420+225288</f>
        <v>711708</v>
      </c>
      <c r="W137" s="19">
        <f>410580+196598</f>
        <v>607178</v>
      </c>
    </row>
    <row r="138" spans="1:23" ht="15.95" customHeight="1" x14ac:dyDescent="0.15">
      <c r="A138" s="84">
        <v>14</v>
      </c>
      <c r="B138" s="62" t="s">
        <v>7</v>
      </c>
      <c r="C138" s="64">
        <f>C97+C136+C137</f>
        <v>236384695</v>
      </c>
      <c r="D138" s="64">
        <f>D97+D136+D137</f>
        <v>280464683</v>
      </c>
      <c r="E138" s="64">
        <f>E97+E136+E137</f>
        <v>283537265</v>
      </c>
      <c r="F138" s="64">
        <f>F97+F136+F137</f>
        <v>296104584</v>
      </c>
      <c r="G138" s="64">
        <f>G137+G129+G119+G109+G99</f>
        <v>18452794</v>
      </c>
      <c r="H138" s="64">
        <f>H137+H129+H119+H109+H99</f>
        <v>18687641</v>
      </c>
      <c r="I138" s="75">
        <f t="shared" ref="I138:N138" si="24">I136+I137+I129+I119+I109+I99</f>
        <v>17172662</v>
      </c>
      <c r="J138" s="75">
        <f t="shared" si="24"/>
        <v>17109914</v>
      </c>
      <c r="K138" s="75">
        <f t="shared" si="24"/>
        <v>16763639</v>
      </c>
      <c r="L138" s="75">
        <f t="shared" si="24"/>
        <v>16145434</v>
      </c>
      <c r="M138" s="75">
        <f t="shared" si="24"/>
        <v>16706133</v>
      </c>
      <c r="N138" s="75">
        <f t="shared" si="24"/>
        <v>17077665</v>
      </c>
      <c r="O138" s="75">
        <f>9557681+8674677</f>
        <v>18232358</v>
      </c>
      <c r="P138" s="75">
        <v>19755223</v>
      </c>
      <c r="Q138" s="75">
        <f>12582918+8405734+3</f>
        <v>20988655</v>
      </c>
      <c r="R138" s="75">
        <f>12681440+8494480</f>
        <v>21175920</v>
      </c>
      <c r="S138" s="19">
        <f>S136+S137+S129+S119+S109+S99</f>
        <v>17172662</v>
      </c>
      <c r="T138" s="19">
        <f>T136+T137+T129+T119+T109+T99</f>
        <v>16706133</v>
      </c>
      <c r="U138" s="19">
        <f t="shared" ref="U138" si="25">+U97+U136+U137</f>
        <v>20988655</v>
      </c>
      <c r="V138" s="19">
        <f t="shared" ref="V138" si="26">+V97+V136+V137</f>
        <v>20564174</v>
      </c>
      <c r="W138" s="19">
        <f t="shared" ref="W138" si="27">+W97+W136+W137</f>
        <v>21197834</v>
      </c>
    </row>
    <row r="139" spans="1:23" ht="15.95" customHeight="1" x14ac:dyDescent="0.15">
      <c r="A139" s="84">
        <v>15</v>
      </c>
      <c r="B139" s="62" t="s">
        <v>5</v>
      </c>
      <c r="C139" s="144">
        <f>1041800-30941777</f>
        <v>-29899977</v>
      </c>
      <c r="D139" s="144">
        <f>1079729-36109113</f>
        <v>-35029384</v>
      </c>
      <c r="E139" s="144">
        <f>1201947-37070235</f>
        <v>-35868288</v>
      </c>
      <c r="F139" s="144">
        <f>1273624-37625371</f>
        <v>-36351747</v>
      </c>
      <c r="G139" s="64">
        <f>1352572+1001246</f>
        <v>2353818</v>
      </c>
      <c r="H139" s="64">
        <f>1219819+1008946</f>
        <v>2228765</v>
      </c>
      <c r="I139" s="73">
        <f>1057147+1034960</f>
        <v>2092107</v>
      </c>
      <c r="J139" s="75">
        <f>1068325+1027881</f>
        <v>2096206</v>
      </c>
      <c r="K139" s="75">
        <f>1124510+1018088</f>
        <v>2142598</v>
      </c>
      <c r="L139" s="75">
        <f>1024157+1040694</f>
        <v>2064851</v>
      </c>
      <c r="M139" s="75">
        <f>939461+1023245</f>
        <v>1962706</v>
      </c>
      <c r="N139" s="75">
        <f>1009642+801824</f>
        <v>1811466</v>
      </c>
      <c r="O139" s="75">
        <f>938122+808294</f>
        <v>1746416</v>
      </c>
      <c r="P139" s="75">
        <v>2289865</v>
      </c>
      <c r="Q139" s="75">
        <f>1502525+679170</f>
        <v>2181695</v>
      </c>
      <c r="R139" s="75">
        <f>1562361+634130</f>
        <v>2196491</v>
      </c>
      <c r="S139" s="8">
        <f>1057147+1034960</f>
        <v>2092107</v>
      </c>
      <c r="T139" s="19">
        <f>939461+1023245</f>
        <v>1962706</v>
      </c>
      <c r="U139" s="19">
        <f>1502525+679170</f>
        <v>2181695</v>
      </c>
      <c r="V139" s="19">
        <f>554464+1657885</f>
        <v>2212349</v>
      </c>
      <c r="W139" s="19">
        <f>752130+1810978</f>
        <v>2563108</v>
      </c>
    </row>
    <row r="140" spans="1:23" ht="15.95" customHeight="1" x14ac:dyDescent="0.15">
      <c r="A140" s="84">
        <v>16</v>
      </c>
      <c r="B140" s="62" t="s">
        <v>15</v>
      </c>
      <c r="C140" s="64">
        <f t="shared" ref="C140:R140" si="28">C139+C138</f>
        <v>206484718</v>
      </c>
      <c r="D140" s="64">
        <f t="shared" si="28"/>
        <v>245435299</v>
      </c>
      <c r="E140" s="64">
        <f t="shared" si="28"/>
        <v>247668977</v>
      </c>
      <c r="F140" s="64">
        <f t="shared" si="28"/>
        <v>259752837</v>
      </c>
      <c r="G140" s="64">
        <f t="shared" si="28"/>
        <v>20806612</v>
      </c>
      <c r="H140" s="64">
        <f t="shared" si="28"/>
        <v>20916406</v>
      </c>
      <c r="I140" s="137">
        <f t="shared" si="28"/>
        <v>19264769</v>
      </c>
      <c r="J140" s="137">
        <f t="shared" si="28"/>
        <v>19206120</v>
      </c>
      <c r="K140" s="137">
        <f t="shared" si="28"/>
        <v>18906237</v>
      </c>
      <c r="L140" s="89">
        <f t="shared" si="28"/>
        <v>18210285</v>
      </c>
      <c r="M140" s="89">
        <f t="shared" si="28"/>
        <v>18668839</v>
      </c>
      <c r="N140" s="89">
        <f t="shared" si="28"/>
        <v>18889131</v>
      </c>
      <c r="O140" s="89">
        <f t="shared" si="28"/>
        <v>19978774</v>
      </c>
      <c r="P140" s="89">
        <f t="shared" si="28"/>
        <v>22045088</v>
      </c>
      <c r="Q140" s="89">
        <f t="shared" si="28"/>
        <v>23170350</v>
      </c>
      <c r="R140" s="89">
        <f t="shared" si="28"/>
        <v>23372411</v>
      </c>
      <c r="S140" s="19">
        <f>S139+S138</f>
        <v>19264769</v>
      </c>
      <c r="T140" s="19">
        <f>T139+T138</f>
        <v>18668839</v>
      </c>
      <c r="U140" s="19">
        <f t="shared" ref="U140" si="29">U139+U138</f>
        <v>23170350</v>
      </c>
      <c r="V140" s="19">
        <f t="shared" ref="V140" si="30">V139+V138</f>
        <v>22776523</v>
      </c>
      <c r="W140" s="19">
        <f t="shared" ref="W140" si="31">W139+W138</f>
        <v>23760942</v>
      </c>
    </row>
    <row r="141" spans="1:23" ht="15.95" customHeight="1" x14ac:dyDescent="0.15">
      <c r="A141" s="84"/>
      <c r="B141" s="62"/>
      <c r="C141" s="130"/>
      <c r="D141" s="130"/>
      <c r="E141" s="130"/>
      <c r="F141" s="130"/>
      <c r="G141" s="130"/>
      <c r="H141" s="130"/>
      <c r="I141" s="137"/>
      <c r="J141" s="137"/>
      <c r="K141" s="137"/>
      <c r="L141" s="89"/>
      <c r="M141" s="89"/>
      <c r="N141" s="89"/>
      <c r="O141" s="89"/>
      <c r="P141" s="89"/>
      <c r="Q141" s="89"/>
      <c r="R141" s="89"/>
      <c r="T141" s="50"/>
    </row>
    <row r="142" spans="1:23" ht="12" customHeight="1" x14ac:dyDescent="0.15">
      <c r="A142" s="48"/>
      <c r="B142" s="77" t="s">
        <v>24</v>
      </c>
      <c r="C142" s="145"/>
      <c r="D142" s="145"/>
      <c r="E142" s="145"/>
      <c r="F142" s="145"/>
      <c r="G142" s="83"/>
      <c r="H142" s="83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17"/>
      <c r="T142" s="50"/>
      <c r="U142" s="46"/>
    </row>
    <row r="143" spans="1:23" ht="12" customHeight="1" x14ac:dyDescent="0.15">
      <c r="A143" s="48"/>
      <c r="B143" s="28" t="s">
        <v>69</v>
      </c>
      <c r="C143" s="100"/>
      <c r="D143" s="100"/>
      <c r="E143" s="100"/>
      <c r="F143" s="101"/>
      <c r="G143" s="101"/>
      <c r="H143" s="102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T143" s="50"/>
      <c r="U143" s="17"/>
    </row>
    <row r="144" spans="1:23" ht="12" customHeight="1" x14ac:dyDescent="0.15">
      <c r="A144" s="48"/>
      <c r="B144" s="28" t="s">
        <v>70</v>
      </c>
      <c r="C144" s="100"/>
      <c r="D144" s="100"/>
      <c r="E144" s="100"/>
      <c r="F144" s="101"/>
      <c r="G144" s="101"/>
      <c r="H144" s="102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T144" s="50"/>
    </row>
    <row r="145" spans="1:148" ht="12" hidden="1" customHeight="1" x14ac:dyDescent="0.15">
      <c r="A145" s="48"/>
      <c r="B145" s="28" t="s">
        <v>65</v>
      </c>
      <c r="C145" s="100"/>
      <c r="D145" s="100"/>
      <c r="E145" s="100"/>
      <c r="F145" s="101"/>
      <c r="G145" s="101"/>
      <c r="H145" s="102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T145" s="50"/>
    </row>
    <row r="146" spans="1:148" ht="12" hidden="1" customHeight="1" x14ac:dyDescent="0.15">
      <c r="A146" s="48"/>
      <c r="B146" s="28" t="s">
        <v>72</v>
      </c>
      <c r="C146" s="100"/>
      <c r="D146" s="100"/>
      <c r="E146" s="100"/>
      <c r="F146" s="101"/>
      <c r="G146" s="101"/>
      <c r="H146" s="102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17"/>
      <c r="T146" s="50"/>
    </row>
    <row r="147" spans="1:148" ht="15.95" hidden="1" customHeight="1" x14ac:dyDescent="0.15">
      <c r="A147" s="48"/>
      <c r="B147" s="28" t="s">
        <v>76</v>
      </c>
      <c r="C147" s="100"/>
      <c r="D147" s="100"/>
      <c r="E147" s="100"/>
      <c r="F147" s="101"/>
      <c r="G147" s="101"/>
      <c r="H147" s="102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T147" s="50"/>
    </row>
    <row r="148" spans="1:148" s="47" customFormat="1" ht="12" hidden="1" customHeight="1" x14ac:dyDescent="0.2">
      <c r="A148" s="48"/>
      <c r="B148" s="28" t="s">
        <v>77</v>
      </c>
      <c r="C148" s="100"/>
      <c r="D148" s="100"/>
      <c r="E148" s="100"/>
      <c r="F148" s="101"/>
      <c r="G148" s="101"/>
      <c r="H148" s="102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3"/>
      <c r="T148" s="146"/>
      <c r="U148" s="17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  <c r="BV148" s="146"/>
      <c r="BW148" s="146"/>
      <c r="BX148" s="146"/>
      <c r="BY148" s="146"/>
      <c r="BZ148" s="146"/>
      <c r="CA148" s="146"/>
      <c r="CB148" s="146"/>
      <c r="CC148" s="146"/>
      <c r="CD148" s="146"/>
      <c r="CE148" s="146"/>
      <c r="CF148" s="146"/>
      <c r="CG148" s="146"/>
      <c r="CH148" s="146"/>
      <c r="CI148" s="146"/>
      <c r="CJ148" s="146"/>
      <c r="CK148" s="146"/>
      <c r="CL148" s="146"/>
      <c r="CM148" s="146"/>
      <c r="CN148" s="146"/>
      <c r="CO148" s="146"/>
      <c r="CP148" s="146"/>
      <c r="CQ148" s="146"/>
      <c r="CR148" s="146"/>
      <c r="CS148" s="146"/>
      <c r="CT148" s="146"/>
      <c r="CU148" s="146"/>
      <c r="CV148" s="146"/>
      <c r="CW148" s="146"/>
      <c r="CX148" s="146"/>
      <c r="CY148" s="146"/>
      <c r="CZ148" s="146"/>
      <c r="DA148" s="146"/>
      <c r="DB148" s="146"/>
      <c r="DC148" s="146"/>
      <c r="DD148" s="146"/>
      <c r="DE148" s="146"/>
      <c r="DF148" s="146"/>
      <c r="DG148" s="146"/>
      <c r="DH148" s="146"/>
      <c r="DI148" s="146"/>
      <c r="DJ148" s="146"/>
      <c r="DK148" s="146"/>
      <c r="DL148" s="146"/>
      <c r="DM148" s="146"/>
      <c r="DN148" s="146"/>
      <c r="DO148" s="146"/>
      <c r="DP148" s="146"/>
      <c r="DQ148" s="146"/>
      <c r="DR148" s="146"/>
      <c r="DS148" s="146"/>
      <c r="DT148" s="146"/>
      <c r="DU148" s="146"/>
      <c r="DV148" s="146"/>
      <c r="DW148" s="146"/>
      <c r="DX148" s="146"/>
      <c r="DY148" s="146"/>
      <c r="DZ148" s="146"/>
      <c r="EA148" s="146"/>
      <c r="EB148" s="146"/>
      <c r="EC148" s="146"/>
      <c r="ED148" s="146"/>
      <c r="EE148" s="146"/>
      <c r="EF148" s="146"/>
      <c r="EG148" s="146"/>
      <c r="EH148" s="146"/>
      <c r="EI148" s="146"/>
      <c r="EJ148" s="146"/>
      <c r="EK148" s="146"/>
      <c r="EL148" s="146"/>
      <c r="EM148" s="146"/>
      <c r="EN148" s="146"/>
      <c r="EO148" s="146"/>
      <c r="EP148" s="146"/>
      <c r="EQ148" s="146"/>
      <c r="ER148" s="146"/>
    </row>
    <row r="149" spans="1:148" ht="15.95" hidden="1" customHeight="1" x14ac:dyDescent="0.15">
      <c r="A149" s="84"/>
      <c r="B149" s="28" t="s">
        <v>79</v>
      </c>
      <c r="C149" s="66"/>
      <c r="D149" s="66"/>
      <c r="E149" s="66"/>
      <c r="F149" s="66"/>
      <c r="G149" s="130"/>
      <c r="H149" s="130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T149" s="50"/>
    </row>
    <row r="150" spans="1:148" ht="15.95" customHeight="1" x14ac:dyDescent="0.15">
      <c r="A150" s="48"/>
      <c r="B150" s="50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T150" s="50"/>
    </row>
    <row r="151" spans="1:148" s="50" customFormat="1" ht="15.95" customHeight="1" x14ac:dyDescent="0.15">
      <c r="A151" s="48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3"/>
      <c r="U151" s="3"/>
    </row>
    <row r="152" spans="1:148" s="50" customFormat="1" ht="15.95" customHeight="1" x14ac:dyDescent="0.15">
      <c r="A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3"/>
      <c r="U152" s="3"/>
    </row>
    <row r="153" spans="1:148" s="50" customFormat="1" ht="15.95" customHeight="1" x14ac:dyDescent="0.15">
      <c r="A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3"/>
      <c r="U153" s="3"/>
    </row>
    <row r="154" spans="1:148" s="50" customFormat="1" ht="15.95" customHeight="1" x14ac:dyDescent="0.15">
      <c r="A154" s="48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3"/>
      <c r="U154" s="3"/>
    </row>
    <row r="155" spans="1:148" s="50" customFormat="1" ht="15.95" customHeight="1" x14ac:dyDescent="0.15">
      <c r="A155" s="48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3"/>
      <c r="U155" s="3"/>
    </row>
    <row r="156" spans="1:148" s="50" customFormat="1" ht="15.95" customHeight="1" x14ac:dyDescent="0.15">
      <c r="A156" s="48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3"/>
      <c r="U156" s="3"/>
    </row>
    <row r="157" spans="1:148" s="50" customFormat="1" ht="15.95" customHeight="1" x14ac:dyDescent="0.15">
      <c r="A157" s="48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3"/>
      <c r="U157" s="3"/>
    </row>
    <row r="158" spans="1:148" s="50" customFormat="1" ht="15.95" customHeight="1" x14ac:dyDescent="0.15">
      <c r="A158" s="48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3"/>
      <c r="U158" s="3"/>
    </row>
    <row r="159" spans="1:148" s="50" customFormat="1" ht="15.95" customHeight="1" x14ac:dyDescent="0.15">
      <c r="A159" s="48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3"/>
      <c r="U159" s="3"/>
    </row>
    <row r="160" spans="1:148" s="50" customFormat="1" ht="15.95" customHeight="1" x14ac:dyDescent="0.15">
      <c r="A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3"/>
      <c r="U160" s="3"/>
    </row>
    <row r="161" spans="1:21" s="50" customFormat="1" ht="15.95" customHeight="1" x14ac:dyDescent="0.15">
      <c r="A161" s="48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3"/>
      <c r="U161" s="3"/>
    </row>
    <row r="162" spans="1:21" s="50" customFormat="1" ht="15.95" customHeight="1" x14ac:dyDescent="0.15">
      <c r="A162" s="48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3"/>
      <c r="U162" s="3"/>
    </row>
    <row r="163" spans="1:21" s="50" customFormat="1" ht="15.95" customHeight="1" x14ac:dyDescent="0.15">
      <c r="A163" s="48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3"/>
      <c r="U163" s="3"/>
    </row>
    <row r="164" spans="1:21" s="50" customFormat="1" ht="15.95" customHeight="1" x14ac:dyDescent="0.15">
      <c r="A164" s="48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3"/>
      <c r="U164" s="3"/>
    </row>
    <row r="165" spans="1:21" s="50" customFormat="1" ht="15.95" customHeight="1" x14ac:dyDescent="0.15">
      <c r="A165" s="48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3"/>
      <c r="U165" s="3"/>
    </row>
    <row r="166" spans="1:21" s="50" customFormat="1" ht="15.95" customHeight="1" x14ac:dyDescent="0.15">
      <c r="A166" s="48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3"/>
      <c r="U166" s="3"/>
    </row>
    <row r="167" spans="1:21" s="50" customFormat="1" ht="15.95" customHeight="1" x14ac:dyDescent="0.15">
      <c r="A167" s="48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3"/>
      <c r="U167" s="3"/>
    </row>
    <row r="168" spans="1:21" s="50" customFormat="1" ht="15.95" customHeight="1" x14ac:dyDescent="0.15">
      <c r="A168" s="48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3"/>
      <c r="U168" s="3"/>
    </row>
    <row r="169" spans="1:21" s="50" customFormat="1" ht="15.95" customHeight="1" x14ac:dyDescent="0.15">
      <c r="A169" s="48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3"/>
      <c r="U169" s="3"/>
    </row>
    <row r="170" spans="1:21" s="50" customFormat="1" ht="15.95" customHeight="1" x14ac:dyDescent="0.15">
      <c r="A170" s="48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3"/>
      <c r="U170" s="3"/>
    </row>
    <row r="171" spans="1:21" s="50" customFormat="1" ht="15.95" customHeight="1" x14ac:dyDescent="0.15">
      <c r="A171" s="48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3"/>
      <c r="U171" s="3"/>
    </row>
    <row r="172" spans="1:21" s="50" customFormat="1" ht="15.95" customHeight="1" x14ac:dyDescent="0.15">
      <c r="A172" s="48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U172" s="3"/>
    </row>
    <row r="173" spans="1:21" s="50" customFormat="1" ht="15.95" customHeight="1" x14ac:dyDescent="0.15">
      <c r="A173" s="48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U173" s="3"/>
    </row>
    <row r="174" spans="1:21" s="50" customFormat="1" ht="15.95" customHeight="1" x14ac:dyDescent="0.15">
      <c r="A174" s="48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U174" s="3"/>
    </row>
    <row r="175" spans="1:21" s="50" customFormat="1" ht="15.95" customHeight="1" x14ac:dyDescent="0.15">
      <c r="A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U175" s="3"/>
    </row>
    <row r="176" spans="1:21" s="50" customFormat="1" ht="15.95" customHeight="1" x14ac:dyDescent="0.15">
      <c r="A176" s="48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U176" s="3"/>
    </row>
    <row r="177" spans="1:21" s="50" customFormat="1" ht="15.95" customHeight="1" x14ac:dyDescent="0.15">
      <c r="A177" s="48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U177" s="3"/>
    </row>
    <row r="178" spans="1:21" s="50" customFormat="1" ht="15.95" customHeight="1" x14ac:dyDescent="0.15">
      <c r="A178" s="48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3"/>
      <c r="U178" s="3"/>
    </row>
    <row r="179" spans="1:21" s="50" customFormat="1" ht="15.95" customHeight="1" x14ac:dyDescent="0.15">
      <c r="A179" s="48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3"/>
      <c r="U179" s="3"/>
    </row>
    <row r="180" spans="1:21" s="50" customFormat="1" ht="15.95" customHeight="1" x14ac:dyDescent="0.15">
      <c r="A180" s="48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3"/>
      <c r="U180" s="3"/>
    </row>
    <row r="181" spans="1:21" s="50" customFormat="1" ht="15.95" customHeight="1" x14ac:dyDescent="0.15">
      <c r="A181" s="48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3"/>
      <c r="U181" s="3"/>
    </row>
    <row r="182" spans="1:21" s="50" customFormat="1" ht="15.95" customHeight="1" x14ac:dyDescent="0.15">
      <c r="A182" s="48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3"/>
      <c r="U182" s="3"/>
    </row>
    <row r="183" spans="1:21" s="50" customFormat="1" ht="15.95" customHeight="1" x14ac:dyDescent="0.15">
      <c r="A183" s="48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3"/>
      <c r="U183" s="3"/>
    </row>
    <row r="184" spans="1:21" s="50" customFormat="1" ht="15.95" customHeight="1" x14ac:dyDescent="0.15">
      <c r="A184" s="48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3"/>
      <c r="U184" s="3"/>
    </row>
    <row r="185" spans="1:21" s="50" customFormat="1" ht="15.95" customHeight="1" x14ac:dyDescent="0.15">
      <c r="A185" s="48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3"/>
      <c r="U185" s="3"/>
    </row>
    <row r="186" spans="1:21" s="50" customFormat="1" ht="15.95" customHeight="1" x14ac:dyDescent="0.15">
      <c r="A186" s="48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3"/>
      <c r="U186" s="3"/>
    </row>
    <row r="187" spans="1:21" s="50" customFormat="1" ht="15.95" customHeight="1" x14ac:dyDescent="0.15">
      <c r="A187" s="48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3"/>
      <c r="U187" s="3"/>
    </row>
    <row r="188" spans="1:21" s="50" customFormat="1" ht="15.95" customHeight="1" x14ac:dyDescent="0.15">
      <c r="A188" s="48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3"/>
      <c r="U188" s="3"/>
    </row>
    <row r="189" spans="1:21" s="50" customFormat="1" ht="15.95" customHeight="1" x14ac:dyDescent="0.15">
      <c r="A189" s="48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3"/>
      <c r="U189" s="3"/>
    </row>
    <row r="190" spans="1:21" s="50" customFormat="1" ht="15.95" customHeight="1" x14ac:dyDescent="0.15">
      <c r="A190" s="48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3"/>
      <c r="U190" s="3"/>
    </row>
    <row r="191" spans="1:21" s="50" customFormat="1" ht="15.95" customHeight="1" x14ac:dyDescent="0.15">
      <c r="A191" s="48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3"/>
      <c r="U191" s="3"/>
    </row>
    <row r="192" spans="1:21" s="50" customFormat="1" ht="15.95" customHeight="1" x14ac:dyDescent="0.15">
      <c r="A192" s="48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3"/>
      <c r="U192" s="3"/>
    </row>
  </sheetData>
  <sheetProtection algorithmName="SHA-512" hashValue="LzKtjwUQdkL9IIg6KoHrhXWJGdHZ6glZspsz3ZxCuNs22S+Hw2sM4PK5Hv6GW1dktBBhMpkOUBnYdrv1xB39KA==" saltValue="ZameP5cSTPVOkB2O5A/5Ew==" spinCount="100000" sheet="1" objects="1" scenarios="1"/>
  <mergeCells count="3">
    <mergeCell ref="B3:L3"/>
    <mergeCell ref="B92:L92"/>
    <mergeCell ref="B1:H1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2018-2022</vt:lpstr>
      <vt:lpstr>2007-2017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Assets &amp;amp; Liabilities - Category A-Retail &amp;amp; Non-Retail Banks 2007-2016Q1</dc:title>
  <dc:creator>Development Policy</dc:creator>
  <cp:lastModifiedBy>Forbes, David</cp:lastModifiedBy>
  <cp:lastPrinted>2019-06-11T19:54:33Z</cp:lastPrinted>
  <dcterms:created xsi:type="dcterms:W3CDTF">2009-02-11T18:05:35Z</dcterms:created>
  <dcterms:modified xsi:type="dcterms:W3CDTF">2023-01-10T20:12:26Z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DownloadAsset.aspx?id=2147485213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2016-06-22T19:14:54Z</vt:filetime>
  </property>
  <property fmtid="{D5CDD505-2E9C-101B-9397-08002B2CF9AE}" pid="10" name="EktDateModified">
    <vt:filetime>2016-06-22T19:14:55Z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300032</vt:i4>
  </property>
  <property fmtid="{D5CDD505-2E9C-101B-9397-08002B2CF9AE}" pid="14" name="EktSearchable">
    <vt:i4>1</vt:i4>
  </property>
  <property fmtid="{D5CDD505-2E9C-101B-9397-08002B2CF9AE}" pid="15" name="EktEDescription">
    <vt:lpwstr>&amp;lt;p&amp;gt;2007-2012  2013-2016  TOTAL ASSETS  TOTAL RESIDENT DEPOSITS    TOTAL NON-RESIDENT DEPOSITS  Central Government  Other Sectors (Households &amp;amp;amp; NPI's)  SHAREHOLDERS EQUITY  OTHER LIABILITIES  TOTAL LIABILITIES  TRANSFERABLE DEPOSITS (Demand) </vt:lpwstr>
  </property>
  <property fmtid="{D5CDD505-2E9C-101B-9397-08002B2CF9AE}" pid="16" name="EktStatistics_and_Regulated_Entities">
    <vt:lpwstr>Banks Class A Statistics Survey Survey Results </vt:lpwstr>
  </property>
</Properties>
</file>