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TATISTICS\SCR\DBA\DBA Domestic Banking Activity -DBA\DBA - Website - Statement of Assets &amp; Liabilities\Statement of Assets &amp; Liab - A Retail &amp; Non-Retail Banks\2026\"/>
    </mc:Choice>
  </mc:AlternateContent>
  <xr:revisionPtr revIDLastSave="0" documentId="13_ncr:1_{CF52D932-924E-424D-B6AD-05C519F1C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-2025" sheetId="1" r:id="rId1"/>
    <sheet name="2007-2019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7" i="1" l="1"/>
  <c r="AA138" i="1"/>
  <c r="AA136" i="1"/>
  <c r="AA135" i="1"/>
  <c r="AA133" i="1"/>
  <c r="AA132" i="1"/>
  <c r="AA131" i="1"/>
  <c r="AA130" i="1"/>
  <c r="AA129" i="1"/>
  <c r="AA126" i="1"/>
  <c r="AA125" i="1"/>
  <c r="AA124" i="1"/>
  <c r="AA123" i="1"/>
  <c r="AA122" i="1"/>
  <c r="AA121" i="1"/>
  <c r="AA120" i="1"/>
  <c r="AA119" i="1"/>
  <c r="AA116" i="1"/>
  <c r="AA115" i="1"/>
  <c r="AA114" i="1"/>
  <c r="AA113" i="1"/>
  <c r="AA112" i="1"/>
  <c r="AA111" i="1"/>
  <c r="AA110" i="1"/>
  <c r="AA109" i="1"/>
  <c r="AA106" i="1"/>
  <c r="AA105" i="1"/>
  <c r="AA104" i="1"/>
  <c r="AA103" i="1"/>
  <c r="AA102" i="1"/>
  <c r="AA101" i="1"/>
  <c r="AA100" i="1"/>
  <c r="AA99" i="1"/>
  <c r="AA88" i="1"/>
  <c r="AA87" i="1"/>
  <c r="AA85" i="1"/>
  <c r="AA84" i="1"/>
  <c r="AA83" i="1"/>
  <c r="AA82" i="1"/>
  <c r="AA81" i="1"/>
  <c r="AA78" i="1"/>
  <c r="AA77" i="1"/>
  <c r="AA76" i="1"/>
  <c r="AA75" i="1"/>
  <c r="AA73" i="1"/>
  <c r="AA72" i="1"/>
  <c r="AA71" i="1"/>
  <c r="AA70" i="1"/>
  <c r="AA69" i="1"/>
  <c r="AA67" i="1"/>
  <c r="AA66" i="1"/>
  <c r="AA65" i="1"/>
  <c r="AA62" i="1"/>
  <c r="AA61" i="1"/>
  <c r="AA60" i="1"/>
  <c r="AA58" i="1"/>
  <c r="AA57" i="1"/>
  <c r="AA51" i="1"/>
  <c r="AA50" i="1"/>
  <c r="AA49" i="1"/>
  <c r="AA48" i="1"/>
  <c r="AA47" i="1"/>
  <c r="AA44" i="1"/>
  <c r="AA43" i="1"/>
  <c r="AA42" i="1"/>
  <c r="AA41" i="1"/>
  <c r="AA40" i="1"/>
  <c r="AA36" i="1"/>
  <c r="AA35" i="1"/>
  <c r="AA34" i="1"/>
  <c r="AA33" i="1"/>
  <c r="AA32" i="1"/>
  <c r="AA29" i="1"/>
  <c r="AA28" i="1"/>
  <c r="AA27" i="1"/>
  <c r="AA26" i="1"/>
  <c r="AA25" i="1"/>
  <c r="AA24" i="1"/>
  <c r="AA23" i="1"/>
  <c r="AA19" i="1"/>
  <c r="AA18" i="1"/>
  <c r="AA17" i="1"/>
  <c r="AA16" i="1"/>
  <c r="AA15" i="1"/>
  <c r="AA12" i="1"/>
  <c r="AA11" i="1"/>
  <c r="AA10" i="1"/>
  <c r="Z139" i="1"/>
  <c r="Z138" i="1"/>
  <c r="Z137" i="1"/>
  <c r="Z136" i="1"/>
  <c r="Z135" i="1"/>
  <c r="Z133" i="1"/>
  <c r="Z132" i="1"/>
  <c r="Z131" i="1"/>
  <c r="Z130" i="1"/>
  <c r="Z129" i="1"/>
  <c r="Z128" i="1"/>
  <c r="Z126" i="1"/>
  <c r="Z125" i="1"/>
  <c r="Z124" i="1"/>
  <c r="Z123" i="1"/>
  <c r="Z122" i="1"/>
  <c r="Z121" i="1"/>
  <c r="Z120" i="1"/>
  <c r="Z119" i="1"/>
  <c r="Z118" i="1"/>
  <c r="Z116" i="1"/>
  <c r="Z115" i="1"/>
  <c r="Z114" i="1"/>
  <c r="Z113" i="1"/>
  <c r="Z112" i="1"/>
  <c r="Z111" i="1"/>
  <c r="Z110" i="1"/>
  <c r="Z109" i="1"/>
  <c r="Z108" i="1"/>
  <c r="Z106" i="1"/>
  <c r="Z105" i="1"/>
  <c r="Z104" i="1"/>
  <c r="Z103" i="1"/>
  <c r="Z102" i="1"/>
  <c r="Z101" i="1"/>
  <c r="Z100" i="1"/>
  <c r="Z99" i="1"/>
  <c r="Z98" i="1"/>
  <c r="Z96" i="1"/>
  <c r="Z95" i="1"/>
  <c r="Z94" i="1"/>
  <c r="Z88" i="1"/>
  <c r="Z87" i="1"/>
  <c r="Z85" i="1"/>
  <c r="Z84" i="1"/>
  <c r="Z83" i="1"/>
  <c r="Z82" i="1"/>
  <c r="Z81" i="1"/>
  <c r="Z80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1" i="1"/>
  <c r="Z50" i="1"/>
  <c r="Z49" i="1"/>
  <c r="Z48" i="1"/>
  <c r="Z47" i="1"/>
  <c r="Z46" i="1"/>
  <c r="Z44" i="1"/>
  <c r="Z43" i="1"/>
  <c r="Z42" i="1"/>
  <c r="Z41" i="1"/>
  <c r="Z40" i="1"/>
  <c r="Z39" i="1"/>
  <c r="Z38" i="1"/>
  <c r="Z36" i="1"/>
  <c r="Z35" i="1"/>
  <c r="Z34" i="1"/>
  <c r="Z33" i="1"/>
  <c r="Z32" i="1"/>
  <c r="Z31" i="1"/>
  <c r="Z29" i="1"/>
  <c r="Z28" i="1"/>
  <c r="Z27" i="1"/>
  <c r="Z26" i="1"/>
  <c r="Z25" i="1"/>
  <c r="Z24" i="1"/>
  <c r="Z23" i="1"/>
  <c r="Z22" i="1"/>
  <c r="Z21" i="1"/>
  <c r="Z19" i="1"/>
  <c r="Z18" i="1"/>
  <c r="Z17" i="1"/>
  <c r="Z16" i="1"/>
  <c r="Z15" i="1"/>
  <c r="Z14" i="1"/>
  <c r="Z12" i="1"/>
  <c r="Z11" i="1"/>
  <c r="Z10" i="1"/>
  <c r="Z7" i="1"/>
  <c r="Y139" i="1"/>
  <c r="Y138" i="1"/>
  <c r="Y137" i="1"/>
  <c r="Y136" i="1"/>
  <c r="Y135" i="1"/>
  <c r="Y133" i="1"/>
  <c r="Y132" i="1"/>
  <c r="Y131" i="1"/>
  <c r="Y130" i="1"/>
  <c r="Y129" i="1"/>
  <c r="Y128" i="1"/>
  <c r="Y126" i="1"/>
  <c r="Y125" i="1"/>
  <c r="Y124" i="1"/>
  <c r="Y123" i="1"/>
  <c r="Y122" i="1"/>
  <c r="Y121" i="1"/>
  <c r="Y120" i="1"/>
  <c r="Y119" i="1"/>
  <c r="Y118" i="1"/>
  <c r="Y116" i="1"/>
  <c r="Y115" i="1"/>
  <c r="Y114" i="1"/>
  <c r="Y113" i="1"/>
  <c r="Y112" i="1"/>
  <c r="Y111" i="1"/>
  <c r="Y110" i="1"/>
  <c r="Y109" i="1"/>
  <c r="Y108" i="1"/>
  <c r="Y106" i="1"/>
  <c r="Y105" i="1"/>
  <c r="Y104" i="1"/>
  <c r="Y103" i="1"/>
  <c r="Y102" i="1"/>
  <c r="Y101" i="1"/>
  <c r="Y100" i="1"/>
  <c r="Y99" i="1"/>
  <c r="Y98" i="1"/>
  <c r="Y96" i="1"/>
  <c r="Y95" i="1"/>
  <c r="Y94" i="1"/>
  <c r="Y89" i="1"/>
  <c r="Y88" i="1"/>
  <c r="Y87" i="1"/>
  <c r="Y85" i="1"/>
  <c r="Y84" i="1"/>
  <c r="Y83" i="1"/>
  <c r="Y82" i="1"/>
  <c r="Y81" i="1"/>
  <c r="Y80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1" i="1"/>
  <c r="Y50" i="1"/>
  <c r="Y49" i="1"/>
  <c r="Y48" i="1"/>
  <c r="Y47" i="1"/>
  <c r="Y46" i="1"/>
  <c r="Y44" i="1"/>
  <c r="Y43" i="1"/>
  <c r="Y42" i="1"/>
  <c r="Y41" i="1"/>
  <c r="Y40" i="1"/>
  <c r="Y39" i="1"/>
  <c r="Y38" i="1"/>
  <c r="Y36" i="1"/>
  <c r="Y35" i="1"/>
  <c r="Y34" i="1"/>
  <c r="Y33" i="1"/>
  <c r="Y32" i="1"/>
  <c r="Y31" i="1"/>
  <c r="Y29" i="1"/>
  <c r="Y28" i="1"/>
  <c r="Y27" i="1"/>
  <c r="Y26" i="1"/>
  <c r="Y25" i="1"/>
  <c r="Y24" i="1"/>
  <c r="Y23" i="1"/>
  <c r="Y22" i="1"/>
  <c r="Y21" i="1"/>
  <c r="Y19" i="1"/>
  <c r="Y18" i="1"/>
  <c r="Y17" i="1"/>
  <c r="Y16" i="1"/>
  <c r="Y15" i="1"/>
  <c r="Y14" i="1"/>
  <c r="Y12" i="1"/>
  <c r="Y11" i="1"/>
  <c r="Y10" i="1"/>
  <c r="Y9" i="1"/>
  <c r="Y8" i="1"/>
  <c r="Y7" i="1"/>
  <c r="X139" i="1"/>
  <c r="X138" i="1"/>
  <c r="X137" i="1"/>
  <c r="X136" i="1"/>
  <c r="X135" i="1"/>
  <c r="X133" i="1"/>
  <c r="X132" i="1"/>
  <c r="X131" i="1"/>
  <c r="X130" i="1"/>
  <c r="X129" i="1"/>
  <c r="X128" i="1"/>
  <c r="X126" i="1"/>
  <c r="X125" i="1"/>
  <c r="X124" i="1"/>
  <c r="X123" i="1"/>
  <c r="X122" i="1"/>
  <c r="X121" i="1"/>
  <c r="X120" i="1"/>
  <c r="X119" i="1"/>
  <c r="X118" i="1"/>
  <c r="X116" i="1"/>
  <c r="X115" i="1"/>
  <c r="X114" i="1"/>
  <c r="X113" i="1"/>
  <c r="X112" i="1"/>
  <c r="X111" i="1"/>
  <c r="X110" i="1"/>
  <c r="X109" i="1"/>
  <c r="X108" i="1"/>
  <c r="X106" i="1"/>
  <c r="X105" i="1"/>
  <c r="X104" i="1"/>
  <c r="X103" i="1"/>
  <c r="X102" i="1"/>
  <c r="X101" i="1"/>
  <c r="X100" i="1"/>
  <c r="X99" i="1"/>
  <c r="X98" i="1"/>
  <c r="X96" i="1"/>
  <c r="X95" i="1"/>
  <c r="X94" i="1"/>
  <c r="X89" i="1"/>
  <c r="X88" i="1"/>
  <c r="X87" i="1"/>
  <c r="X85" i="1"/>
  <c r="X84" i="1"/>
  <c r="X83" i="1"/>
  <c r="X82" i="1"/>
  <c r="X81" i="1"/>
  <c r="X80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1" i="1"/>
  <c r="X50" i="1"/>
  <c r="X49" i="1"/>
  <c r="X48" i="1"/>
  <c r="X47" i="1"/>
  <c r="X46" i="1"/>
  <c r="X44" i="1"/>
  <c r="X43" i="1"/>
  <c r="X42" i="1"/>
  <c r="X41" i="1"/>
  <c r="X40" i="1"/>
  <c r="X39" i="1"/>
  <c r="X38" i="1"/>
  <c r="X36" i="1"/>
  <c r="X35" i="1"/>
  <c r="X34" i="1"/>
  <c r="X33" i="1"/>
  <c r="X32" i="1"/>
  <c r="X31" i="1"/>
  <c r="X29" i="1"/>
  <c r="X28" i="1"/>
  <c r="X27" i="1"/>
  <c r="X26" i="1"/>
  <c r="X25" i="1"/>
  <c r="X24" i="1"/>
  <c r="X23" i="1"/>
  <c r="X22" i="1"/>
  <c r="X21" i="1"/>
  <c r="X19" i="1"/>
  <c r="X18" i="1"/>
  <c r="X17" i="1"/>
  <c r="X16" i="1"/>
  <c r="X15" i="1"/>
  <c r="X14" i="1"/>
  <c r="X12" i="1"/>
  <c r="X11" i="1"/>
  <c r="X10" i="1"/>
  <c r="X9" i="1"/>
  <c r="X8" i="1"/>
  <c r="X7" i="1"/>
  <c r="W139" i="1"/>
  <c r="W138" i="1"/>
  <c r="W137" i="1"/>
  <c r="W136" i="1"/>
  <c r="W135" i="1"/>
  <c r="W133" i="1"/>
  <c r="W132" i="1"/>
  <c r="W131" i="1"/>
  <c r="W130" i="1"/>
  <c r="W129" i="1"/>
  <c r="W128" i="1"/>
  <c r="W126" i="1"/>
  <c r="W125" i="1"/>
  <c r="W124" i="1"/>
  <c r="W123" i="1"/>
  <c r="W122" i="1"/>
  <c r="W121" i="1"/>
  <c r="W120" i="1"/>
  <c r="W119" i="1"/>
  <c r="W118" i="1"/>
  <c r="W116" i="1"/>
  <c r="W115" i="1"/>
  <c r="W114" i="1"/>
  <c r="W113" i="1"/>
  <c r="W112" i="1"/>
  <c r="W111" i="1"/>
  <c r="W110" i="1"/>
  <c r="W109" i="1"/>
  <c r="W108" i="1"/>
  <c r="W106" i="1"/>
  <c r="W105" i="1"/>
  <c r="W104" i="1"/>
  <c r="W103" i="1"/>
  <c r="W102" i="1"/>
  <c r="W101" i="1"/>
  <c r="W100" i="1"/>
  <c r="W99" i="1"/>
  <c r="W98" i="1"/>
  <c r="W96" i="1"/>
  <c r="W95" i="1"/>
  <c r="W94" i="1"/>
  <c r="W89" i="1"/>
  <c r="W88" i="1"/>
  <c r="W87" i="1"/>
  <c r="W85" i="1"/>
  <c r="W84" i="1"/>
  <c r="W83" i="1"/>
  <c r="W82" i="1"/>
  <c r="W81" i="1"/>
  <c r="W8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1" i="1"/>
  <c r="W50" i="1"/>
  <c r="W49" i="1"/>
  <c r="W48" i="1"/>
  <c r="W47" i="1"/>
  <c r="W46" i="1"/>
  <c r="W44" i="1"/>
  <c r="W43" i="1"/>
  <c r="W42" i="1"/>
  <c r="W41" i="1"/>
  <c r="W40" i="1"/>
  <c r="W39" i="1"/>
  <c r="W38" i="1"/>
  <c r="W36" i="1"/>
  <c r="W35" i="1"/>
  <c r="W34" i="1"/>
  <c r="W33" i="1"/>
  <c r="W32" i="1"/>
  <c r="W31" i="1"/>
  <c r="W29" i="1"/>
  <c r="W28" i="1"/>
  <c r="W27" i="1"/>
  <c r="W26" i="1"/>
  <c r="W25" i="1"/>
  <c r="W24" i="1"/>
  <c r="W23" i="1"/>
  <c r="W22" i="1"/>
  <c r="W21" i="1"/>
  <c r="W19" i="1"/>
  <c r="W18" i="1"/>
  <c r="W17" i="1"/>
  <c r="W16" i="1"/>
  <c r="W15" i="1"/>
  <c r="W14" i="1"/>
  <c r="W12" i="1"/>
  <c r="W11" i="1"/>
  <c r="W10" i="1"/>
  <c r="W9" i="1"/>
  <c r="W8" i="1"/>
  <c r="W78" i="1"/>
  <c r="W77" i="1"/>
  <c r="W76" i="1"/>
  <c r="W75" i="1"/>
  <c r="W74" i="1"/>
  <c r="W73" i="1"/>
  <c r="W72" i="1"/>
  <c r="W71" i="1"/>
  <c r="W70" i="1"/>
  <c r="W7" i="1"/>
  <c r="V138" i="1"/>
  <c r="V136" i="1"/>
  <c r="V135" i="1"/>
  <c r="V133" i="1"/>
  <c r="V132" i="1"/>
  <c r="V131" i="1"/>
  <c r="V130" i="1"/>
  <c r="V129" i="1"/>
  <c r="V126" i="1"/>
  <c r="V125" i="1"/>
  <c r="V124" i="1"/>
  <c r="V123" i="1"/>
  <c r="V122" i="1"/>
  <c r="V121" i="1"/>
  <c r="V120" i="1"/>
  <c r="V119" i="1"/>
  <c r="V116" i="1"/>
  <c r="V115" i="1"/>
  <c r="V114" i="1"/>
  <c r="V113" i="1"/>
  <c r="V112" i="1"/>
  <c r="V111" i="1"/>
  <c r="V110" i="1"/>
  <c r="V109" i="1"/>
  <c r="V106" i="1"/>
  <c r="V105" i="1"/>
  <c r="V104" i="1"/>
  <c r="V103" i="1"/>
  <c r="V102" i="1"/>
  <c r="V101" i="1"/>
  <c r="V100" i="1"/>
  <c r="V99" i="1"/>
  <c r="V96" i="1"/>
  <c r="V95" i="1"/>
  <c r="V94" i="1"/>
  <c r="V88" i="1"/>
  <c r="V87" i="1"/>
  <c r="V85" i="1"/>
  <c r="V84" i="1"/>
  <c r="V83" i="1"/>
  <c r="V82" i="1"/>
  <c r="V81" i="1"/>
  <c r="V78" i="1"/>
  <c r="V77" i="1"/>
  <c r="V76" i="1"/>
  <c r="V75" i="1"/>
  <c r="V73" i="1"/>
  <c r="V72" i="1"/>
  <c r="V71" i="1"/>
  <c r="V70" i="1"/>
  <c r="V69" i="1"/>
  <c r="V67" i="1"/>
  <c r="V66" i="1"/>
  <c r="V65" i="1"/>
  <c r="V62" i="1"/>
  <c r="V61" i="1"/>
  <c r="V60" i="1"/>
  <c r="V58" i="1"/>
  <c r="V57" i="1"/>
  <c r="V51" i="1"/>
  <c r="V50" i="1"/>
  <c r="V49" i="1"/>
  <c r="V48" i="1"/>
  <c r="V47" i="1"/>
  <c r="V44" i="1"/>
  <c r="V43" i="1"/>
  <c r="V42" i="1"/>
  <c r="V41" i="1"/>
  <c r="V40" i="1"/>
  <c r="V36" i="1"/>
  <c r="V35" i="1"/>
  <c r="V34" i="1"/>
  <c r="V33" i="1"/>
  <c r="V32" i="1"/>
  <c r="V29" i="1"/>
  <c r="V28" i="1"/>
  <c r="V27" i="1"/>
  <c r="V26" i="1"/>
  <c r="V25" i="1"/>
  <c r="V24" i="1"/>
  <c r="V23" i="1"/>
  <c r="V19" i="1"/>
  <c r="V18" i="1"/>
  <c r="V17" i="1"/>
  <c r="V16" i="1"/>
  <c r="V15" i="1"/>
  <c r="V12" i="1"/>
  <c r="V11" i="1"/>
  <c r="V10" i="1"/>
  <c r="V8" i="1"/>
  <c r="V7" i="1"/>
  <c r="U88" i="1"/>
  <c r="U78" i="1"/>
  <c r="U138" i="1"/>
  <c r="U136" i="1"/>
  <c r="U10" i="1"/>
  <c r="U7" i="1"/>
  <c r="U12" i="1"/>
  <c r="U11" i="1"/>
  <c r="U19" i="1"/>
  <c r="U18" i="1"/>
  <c r="U17" i="1"/>
  <c r="U16" i="1"/>
  <c r="U15" i="1"/>
  <c r="U29" i="1"/>
  <c r="U28" i="1"/>
  <c r="U27" i="1"/>
  <c r="U26" i="1"/>
  <c r="U25" i="1"/>
  <c r="U24" i="1"/>
  <c r="U23" i="1"/>
  <c r="U36" i="1"/>
  <c r="U35" i="1"/>
  <c r="U34" i="1"/>
  <c r="U33" i="1"/>
  <c r="U32" i="1"/>
  <c r="U44" i="1"/>
  <c r="U43" i="1"/>
  <c r="U42" i="1"/>
  <c r="U41" i="1"/>
  <c r="U40" i="1"/>
  <c r="U51" i="1"/>
  <c r="U50" i="1"/>
  <c r="U49" i="1"/>
  <c r="U48" i="1"/>
  <c r="U47" i="1"/>
  <c r="U77" i="1"/>
  <c r="U76" i="1"/>
  <c r="U75" i="1"/>
  <c r="U73" i="1"/>
  <c r="U72" i="1"/>
  <c r="U71" i="1"/>
  <c r="U70" i="1"/>
  <c r="U69" i="1"/>
  <c r="U67" i="1"/>
  <c r="U66" i="1"/>
  <c r="U65" i="1"/>
  <c r="U62" i="1"/>
  <c r="U61" i="1"/>
  <c r="U60" i="1"/>
  <c r="U58" i="1"/>
  <c r="U57" i="1"/>
  <c r="U85" i="1"/>
  <c r="U84" i="1"/>
  <c r="U83" i="1"/>
  <c r="U82" i="1"/>
  <c r="U81" i="1"/>
  <c r="U87" i="1"/>
  <c r="U106" i="1"/>
  <c r="U105" i="1"/>
  <c r="U104" i="1"/>
  <c r="U103" i="1"/>
  <c r="U102" i="1"/>
  <c r="U101" i="1"/>
  <c r="U100" i="1"/>
  <c r="U99" i="1"/>
  <c r="U116" i="1"/>
  <c r="U115" i="1"/>
  <c r="U114" i="1"/>
  <c r="U113" i="1"/>
  <c r="U112" i="1"/>
  <c r="U111" i="1"/>
  <c r="U110" i="1"/>
  <c r="U109" i="1"/>
  <c r="U126" i="1"/>
  <c r="U125" i="1"/>
  <c r="U124" i="1"/>
  <c r="U123" i="1"/>
  <c r="U122" i="1"/>
  <c r="U121" i="1"/>
  <c r="U120" i="1"/>
  <c r="U119" i="1"/>
  <c r="U133" i="1"/>
  <c r="U132" i="1"/>
  <c r="U131" i="1"/>
  <c r="U130" i="1"/>
  <c r="U129" i="1"/>
  <c r="U135" i="1"/>
  <c r="T138" i="1"/>
  <c r="T136" i="1"/>
  <c r="T135" i="1"/>
  <c r="T133" i="1"/>
  <c r="T132" i="1"/>
  <c r="T131" i="1"/>
  <c r="T130" i="1"/>
  <c r="T129" i="1"/>
  <c r="T126" i="1"/>
  <c r="T125" i="1"/>
  <c r="T124" i="1"/>
  <c r="T123" i="1"/>
  <c r="T122" i="1"/>
  <c r="T121" i="1"/>
  <c r="T120" i="1"/>
  <c r="T119" i="1"/>
  <c r="T116" i="1"/>
  <c r="T115" i="1"/>
  <c r="T114" i="1"/>
  <c r="T113" i="1"/>
  <c r="T112" i="1"/>
  <c r="T111" i="1"/>
  <c r="T110" i="1"/>
  <c r="T109" i="1"/>
  <c r="T106" i="1"/>
  <c r="T105" i="1"/>
  <c r="T104" i="1"/>
  <c r="T103" i="1"/>
  <c r="T102" i="1"/>
  <c r="T101" i="1"/>
  <c r="T100" i="1"/>
  <c r="T99" i="1"/>
  <c r="T96" i="1"/>
  <c r="T95" i="1"/>
  <c r="T94" i="1"/>
  <c r="T88" i="1"/>
  <c r="T87" i="1"/>
  <c r="T85" i="1"/>
  <c r="T84" i="1"/>
  <c r="T83" i="1"/>
  <c r="T82" i="1"/>
  <c r="T81" i="1"/>
  <c r="T78" i="1"/>
  <c r="T77" i="1"/>
  <c r="T76" i="1"/>
  <c r="T75" i="1"/>
  <c r="T73" i="1"/>
  <c r="T72" i="1"/>
  <c r="T71" i="1"/>
  <c r="T70" i="1"/>
  <c r="T69" i="1"/>
  <c r="T67" i="1"/>
  <c r="T66" i="1"/>
  <c r="T65" i="1"/>
  <c r="T62" i="1"/>
  <c r="T61" i="1"/>
  <c r="T60" i="1"/>
  <c r="T58" i="1"/>
  <c r="T57" i="1"/>
  <c r="T51" i="1"/>
  <c r="T50" i="1"/>
  <c r="T49" i="1"/>
  <c r="T48" i="1"/>
  <c r="T47" i="1"/>
  <c r="T44" i="1"/>
  <c r="T43" i="1"/>
  <c r="T42" i="1"/>
  <c r="T41" i="1"/>
  <c r="T40" i="1"/>
  <c r="T36" i="1"/>
  <c r="T35" i="1"/>
  <c r="T34" i="1"/>
  <c r="T33" i="1"/>
  <c r="T32" i="1"/>
  <c r="T29" i="1"/>
  <c r="T28" i="1"/>
  <c r="T27" i="1"/>
  <c r="T26" i="1"/>
  <c r="T25" i="1"/>
  <c r="T24" i="1"/>
  <c r="T23" i="1"/>
  <c r="T19" i="1"/>
  <c r="T18" i="1"/>
  <c r="T17" i="1"/>
  <c r="T16" i="1"/>
  <c r="T15" i="1"/>
  <c r="T12" i="1"/>
  <c r="T11" i="1"/>
  <c r="T10" i="1"/>
  <c r="T8" i="1"/>
  <c r="T7" i="1"/>
  <c r="S138" i="1"/>
  <c r="S136" i="1"/>
  <c r="S135" i="1"/>
  <c r="S133" i="1"/>
  <c r="S132" i="1"/>
  <c r="S131" i="1"/>
  <c r="S130" i="1"/>
  <c r="S129" i="1"/>
  <c r="S126" i="1"/>
  <c r="S125" i="1"/>
  <c r="S124" i="1"/>
  <c r="S123" i="1"/>
  <c r="S122" i="1"/>
  <c r="S121" i="1"/>
  <c r="S120" i="1"/>
  <c r="S119" i="1"/>
  <c r="S116" i="1"/>
  <c r="S115" i="1"/>
  <c r="S114" i="1"/>
  <c r="S113" i="1"/>
  <c r="S112" i="1"/>
  <c r="S111" i="1"/>
  <c r="S110" i="1"/>
  <c r="S109" i="1"/>
  <c r="S106" i="1"/>
  <c r="S105" i="1"/>
  <c r="S104" i="1"/>
  <c r="S103" i="1"/>
  <c r="S102" i="1"/>
  <c r="S101" i="1"/>
  <c r="S100" i="1"/>
  <c r="S99" i="1"/>
  <c r="S96" i="1"/>
  <c r="S95" i="1"/>
  <c r="S94" i="1"/>
  <c r="S88" i="1"/>
  <c r="S87" i="1"/>
  <c r="S85" i="1"/>
  <c r="S84" i="1"/>
  <c r="S83" i="1"/>
  <c r="S82" i="1"/>
  <c r="S81" i="1"/>
  <c r="S78" i="1"/>
  <c r="S77" i="1"/>
  <c r="S76" i="1"/>
  <c r="S75" i="1"/>
  <c r="S73" i="1"/>
  <c r="S72" i="1"/>
  <c r="S71" i="1"/>
  <c r="S70" i="1"/>
  <c r="S69" i="1"/>
  <c r="S67" i="1"/>
  <c r="S66" i="1"/>
  <c r="S65" i="1"/>
  <c r="S62" i="1"/>
  <c r="S61" i="1"/>
  <c r="S60" i="1"/>
  <c r="S58" i="1"/>
  <c r="S57" i="1"/>
  <c r="S51" i="1"/>
  <c r="S50" i="1"/>
  <c r="S49" i="1"/>
  <c r="S48" i="1"/>
  <c r="S47" i="1"/>
  <c r="S44" i="1"/>
  <c r="S43" i="1"/>
  <c r="S42" i="1"/>
  <c r="S41" i="1"/>
  <c r="S40" i="1"/>
  <c r="S36" i="1"/>
  <c r="S35" i="1"/>
  <c r="S34" i="1"/>
  <c r="S33" i="1"/>
  <c r="S32" i="1"/>
  <c r="S29" i="1"/>
  <c r="S28" i="1"/>
  <c r="S27" i="1"/>
  <c r="S26" i="1"/>
  <c r="S25" i="1"/>
  <c r="S24" i="1"/>
  <c r="S23" i="1"/>
  <c r="S19" i="1"/>
  <c r="S18" i="1"/>
  <c r="S17" i="1"/>
  <c r="S16" i="1"/>
  <c r="S15" i="1"/>
  <c r="S12" i="1"/>
  <c r="S11" i="1"/>
  <c r="S10" i="1"/>
  <c r="S8" i="1"/>
  <c r="S7" i="1"/>
  <c r="T9" i="1" l="1"/>
  <c r="V64" i="1"/>
  <c r="V31" i="1"/>
  <c r="V74" i="1"/>
  <c r="T137" i="1"/>
  <c r="T139" i="1" s="1"/>
  <c r="V46" i="1"/>
  <c r="V128" i="1"/>
  <c r="T68" i="1"/>
  <c r="V118" i="1"/>
  <c r="V137" i="1"/>
  <c r="V139" i="1" s="1"/>
  <c r="V9" i="1"/>
  <c r="V22" i="1"/>
  <c r="V108" i="1"/>
  <c r="V68" i="1"/>
  <c r="V80" i="1"/>
  <c r="V39" i="1"/>
  <c r="T31" i="1"/>
  <c r="V98" i="1"/>
  <c r="V59" i="1"/>
  <c r="V14" i="1"/>
  <c r="T46" i="1"/>
  <c r="T128" i="1"/>
  <c r="T108" i="1"/>
  <c r="T39" i="1"/>
  <c r="T98" i="1"/>
  <c r="T14" i="1"/>
  <c r="T59" i="1"/>
  <c r="T22" i="1"/>
  <c r="T64" i="1"/>
  <c r="T74" i="1"/>
  <c r="T118" i="1"/>
  <c r="T80" i="1"/>
  <c r="U22" i="1"/>
  <c r="U74" i="1"/>
  <c r="U68" i="1"/>
  <c r="U64" i="1"/>
  <c r="U9" i="1"/>
  <c r="U118" i="1"/>
  <c r="U108" i="1"/>
  <c r="U98" i="1"/>
  <c r="U80" i="1"/>
  <c r="U59" i="1"/>
  <c r="U39" i="1"/>
  <c r="U31" i="1"/>
  <c r="U14" i="1"/>
  <c r="U46" i="1"/>
  <c r="U128" i="1"/>
  <c r="S31" i="1"/>
  <c r="R138" i="1"/>
  <c r="R136" i="1"/>
  <c r="R135" i="1"/>
  <c r="R133" i="1"/>
  <c r="R132" i="1"/>
  <c r="R131" i="1"/>
  <c r="R130" i="1"/>
  <c r="R129" i="1"/>
  <c r="R126" i="1"/>
  <c r="R125" i="1"/>
  <c r="R124" i="1"/>
  <c r="R123" i="1"/>
  <c r="R122" i="1"/>
  <c r="R121" i="1"/>
  <c r="R120" i="1"/>
  <c r="R119" i="1"/>
  <c r="R116" i="1"/>
  <c r="R115" i="1"/>
  <c r="R114" i="1"/>
  <c r="R113" i="1"/>
  <c r="R112" i="1"/>
  <c r="R111" i="1"/>
  <c r="R110" i="1"/>
  <c r="R109" i="1"/>
  <c r="R106" i="1"/>
  <c r="R105" i="1"/>
  <c r="R104" i="1"/>
  <c r="R103" i="1"/>
  <c r="R102" i="1"/>
  <c r="R101" i="1"/>
  <c r="R100" i="1"/>
  <c r="R99" i="1"/>
  <c r="R96" i="1"/>
  <c r="R95" i="1"/>
  <c r="R94" i="1"/>
  <c r="R88" i="1"/>
  <c r="R87" i="1"/>
  <c r="R85" i="1"/>
  <c r="R84" i="1"/>
  <c r="R83" i="1"/>
  <c r="R82" i="1"/>
  <c r="R81" i="1"/>
  <c r="R78" i="1"/>
  <c r="R77" i="1"/>
  <c r="R76" i="1"/>
  <c r="R75" i="1"/>
  <c r="R73" i="1"/>
  <c r="R72" i="1"/>
  <c r="R71" i="1"/>
  <c r="R70" i="1"/>
  <c r="R69" i="1"/>
  <c r="R67" i="1"/>
  <c r="R66" i="1"/>
  <c r="R65" i="1"/>
  <c r="R62" i="1"/>
  <c r="R61" i="1"/>
  <c r="R60" i="1"/>
  <c r="R58" i="1"/>
  <c r="R57" i="1"/>
  <c r="R51" i="1"/>
  <c r="R50" i="1"/>
  <c r="R49" i="1"/>
  <c r="R48" i="1"/>
  <c r="R47" i="1"/>
  <c r="R44" i="1"/>
  <c r="R43" i="1"/>
  <c r="R42" i="1"/>
  <c r="R41" i="1"/>
  <c r="R40" i="1"/>
  <c r="R36" i="1"/>
  <c r="R35" i="1"/>
  <c r="R34" i="1"/>
  <c r="R33" i="1"/>
  <c r="R32" i="1"/>
  <c r="R29" i="1"/>
  <c r="R28" i="1"/>
  <c r="R27" i="1"/>
  <c r="R26" i="1"/>
  <c r="R25" i="1"/>
  <c r="R24" i="1"/>
  <c r="R23" i="1"/>
  <c r="R19" i="1"/>
  <c r="R18" i="1"/>
  <c r="R17" i="1"/>
  <c r="R16" i="1"/>
  <c r="R15" i="1"/>
  <c r="R12" i="1"/>
  <c r="R11" i="1"/>
  <c r="R10" i="1"/>
  <c r="R8" i="1"/>
  <c r="R7" i="1"/>
  <c r="Q138" i="1"/>
  <c r="Q136" i="1"/>
  <c r="Q135" i="1"/>
  <c r="Q133" i="1"/>
  <c r="Q132" i="1"/>
  <c r="Q131" i="1"/>
  <c r="Q130" i="1"/>
  <c r="Q129" i="1"/>
  <c r="Q126" i="1"/>
  <c r="Q125" i="1"/>
  <c r="Q124" i="1"/>
  <c r="Q123" i="1"/>
  <c r="Q122" i="1"/>
  <c r="Q121" i="1"/>
  <c r="Q120" i="1"/>
  <c r="Q119" i="1"/>
  <c r="Q116" i="1"/>
  <c r="Q115" i="1"/>
  <c r="Q114" i="1"/>
  <c r="Q113" i="1"/>
  <c r="Q112" i="1"/>
  <c r="Q111" i="1"/>
  <c r="Q110" i="1"/>
  <c r="Q109" i="1"/>
  <c r="Q106" i="1"/>
  <c r="Q105" i="1"/>
  <c r="Q104" i="1"/>
  <c r="Q103" i="1"/>
  <c r="Q102" i="1"/>
  <c r="Q101" i="1"/>
  <c r="Q100" i="1"/>
  <c r="Q99" i="1"/>
  <c r="Q96" i="1"/>
  <c r="Q95" i="1"/>
  <c r="Q94" i="1"/>
  <c r="Q88" i="1"/>
  <c r="Q87" i="1"/>
  <c r="Q85" i="1"/>
  <c r="Q84" i="1"/>
  <c r="Q83" i="1"/>
  <c r="Q82" i="1"/>
  <c r="Q81" i="1"/>
  <c r="Q78" i="1"/>
  <c r="Q77" i="1"/>
  <c r="Q76" i="1"/>
  <c r="Q75" i="1"/>
  <c r="Q73" i="1"/>
  <c r="Q72" i="1"/>
  <c r="Q71" i="1"/>
  <c r="Q70" i="1"/>
  <c r="Q69" i="1"/>
  <c r="Q67" i="1"/>
  <c r="Q66" i="1"/>
  <c r="Q65" i="1"/>
  <c r="Q62" i="1"/>
  <c r="Q61" i="1"/>
  <c r="Q60" i="1"/>
  <c r="Q58" i="1"/>
  <c r="Q57" i="1"/>
  <c r="Q51" i="1"/>
  <c r="Q50" i="1"/>
  <c r="Q49" i="1"/>
  <c r="Q48" i="1"/>
  <c r="Q47" i="1"/>
  <c r="Q44" i="1"/>
  <c r="Q43" i="1"/>
  <c r="Q42" i="1"/>
  <c r="Q41" i="1"/>
  <c r="Q40" i="1"/>
  <c r="Q36" i="1"/>
  <c r="Q35" i="1"/>
  <c r="Q34" i="1"/>
  <c r="Q33" i="1"/>
  <c r="Q32" i="1"/>
  <c r="Q29" i="1"/>
  <c r="Q28" i="1"/>
  <c r="Q27" i="1"/>
  <c r="Q26" i="1"/>
  <c r="Q25" i="1"/>
  <c r="Q24" i="1"/>
  <c r="Q23" i="1"/>
  <c r="Q19" i="1"/>
  <c r="Q18" i="1"/>
  <c r="Q17" i="1"/>
  <c r="Q16" i="1"/>
  <c r="Q15" i="1"/>
  <c r="Q12" i="1"/>
  <c r="Q11" i="1"/>
  <c r="Q10" i="1"/>
  <c r="Q8" i="1"/>
  <c r="Q7" i="1"/>
  <c r="P138" i="1"/>
  <c r="P136" i="1"/>
  <c r="P135" i="1"/>
  <c r="P133" i="1"/>
  <c r="P132" i="1"/>
  <c r="P131" i="1"/>
  <c r="P130" i="1"/>
  <c r="P129" i="1"/>
  <c r="P126" i="1"/>
  <c r="P125" i="1"/>
  <c r="P124" i="1"/>
  <c r="P123" i="1"/>
  <c r="P122" i="1"/>
  <c r="P121" i="1"/>
  <c r="P120" i="1"/>
  <c r="P119" i="1"/>
  <c r="P116" i="1"/>
  <c r="P115" i="1"/>
  <c r="P114" i="1"/>
  <c r="P113" i="1"/>
  <c r="P112" i="1"/>
  <c r="P111" i="1"/>
  <c r="P110" i="1"/>
  <c r="P109" i="1"/>
  <c r="P106" i="1"/>
  <c r="P105" i="1"/>
  <c r="P104" i="1"/>
  <c r="P103" i="1"/>
  <c r="P102" i="1"/>
  <c r="P101" i="1"/>
  <c r="P100" i="1"/>
  <c r="P99" i="1"/>
  <c r="P96" i="1"/>
  <c r="P95" i="1"/>
  <c r="P94" i="1"/>
  <c r="P88" i="1"/>
  <c r="P87" i="1"/>
  <c r="P85" i="1"/>
  <c r="P84" i="1"/>
  <c r="P83" i="1"/>
  <c r="P82" i="1"/>
  <c r="P81" i="1"/>
  <c r="P78" i="1"/>
  <c r="P77" i="1"/>
  <c r="P76" i="1"/>
  <c r="P75" i="1"/>
  <c r="P73" i="1"/>
  <c r="P72" i="1"/>
  <c r="P71" i="1"/>
  <c r="P70" i="1"/>
  <c r="P69" i="1"/>
  <c r="P67" i="1"/>
  <c r="P66" i="1"/>
  <c r="P65" i="1"/>
  <c r="P62" i="1"/>
  <c r="P61" i="1"/>
  <c r="P60" i="1"/>
  <c r="P58" i="1"/>
  <c r="P57" i="1"/>
  <c r="P51" i="1"/>
  <c r="P50" i="1"/>
  <c r="P49" i="1"/>
  <c r="P48" i="1"/>
  <c r="P47" i="1"/>
  <c r="P44" i="1"/>
  <c r="P43" i="1"/>
  <c r="P42" i="1"/>
  <c r="P41" i="1"/>
  <c r="P40" i="1"/>
  <c r="P36" i="1"/>
  <c r="P35" i="1"/>
  <c r="P34" i="1"/>
  <c r="P33" i="1"/>
  <c r="P32" i="1"/>
  <c r="P29" i="1"/>
  <c r="P28" i="1"/>
  <c r="P27" i="1"/>
  <c r="P26" i="1"/>
  <c r="P25" i="1"/>
  <c r="P24" i="1"/>
  <c r="P23" i="1"/>
  <c r="P19" i="1"/>
  <c r="P18" i="1"/>
  <c r="P17" i="1"/>
  <c r="P16" i="1"/>
  <c r="P15" i="1"/>
  <c r="P12" i="1"/>
  <c r="P11" i="1"/>
  <c r="P10" i="1"/>
  <c r="P8" i="1"/>
  <c r="P7" i="1"/>
  <c r="O7" i="1"/>
  <c r="O8" i="1"/>
  <c r="O10" i="1"/>
  <c r="O11" i="1"/>
  <c r="O12" i="1"/>
  <c r="O15" i="1"/>
  <c r="O16" i="1"/>
  <c r="O17" i="1"/>
  <c r="O18" i="1"/>
  <c r="O19" i="1"/>
  <c r="O23" i="1"/>
  <c r="O24" i="1"/>
  <c r="O25" i="1"/>
  <c r="O26" i="1"/>
  <c r="O27" i="1"/>
  <c r="O28" i="1"/>
  <c r="O29" i="1"/>
  <c r="O32" i="1"/>
  <c r="O33" i="1"/>
  <c r="O34" i="1"/>
  <c r="O35" i="1"/>
  <c r="O36" i="1"/>
  <c r="O40" i="1"/>
  <c r="O41" i="1"/>
  <c r="O42" i="1"/>
  <c r="O43" i="1"/>
  <c r="O44" i="1"/>
  <c r="O47" i="1"/>
  <c r="O48" i="1"/>
  <c r="O49" i="1"/>
  <c r="O50" i="1"/>
  <c r="O51" i="1"/>
  <c r="O57" i="1"/>
  <c r="O58" i="1"/>
  <c r="O60" i="1"/>
  <c r="O61" i="1"/>
  <c r="O62" i="1"/>
  <c r="O65" i="1"/>
  <c r="O66" i="1"/>
  <c r="O67" i="1"/>
  <c r="O69" i="1"/>
  <c r="O70" i="1"/>
  <c r="O71" i="1"/>
  <c r="O72" i="1"/>
  <c r="O73" i="1"/>
  <c r="O75" i="1"/>
  <c r="O76" i="1"/>
  <c r="O77" i="1"/>
  <c r="O78" i="1"/>
  <c r="O81" i="1"/>
  <c r="O82" i="1"/>
  <c r="O83" i="1"/>
  <c r="O84" i="1"/>
  <c r="O85" i="1"/>
  <c r="O87" i="1"/>
  <c r="O88" i="1"/>
  <c r="O94" i="1"/>
  <c r="O95" i="1"/>
  <c r="O96" i="1"/>
  <c r="O99" i="1"/>
  <c r="O100" i="1"/>
  <c r="O101" i="1"/>
  <c r="O102" i="1"/>
  <c r="O103" i="1"/>
  <c r="O104" i="1"/>
  <c r="O105" i="1"/>
  <c r="O106" i="1"/>
  <c r="O109" i="1"/>
  <c r="O110" i="1"/>
  <c r="O111" i="1"/>
  <c r="O112" i="1"/>
  <c r="O113" i="1"/>
  <c r="O114" i="1"/>
  <c r="O115" i="1"/>
  <c r="O116" i="1"/>
  <c r="O119" i="1"/>
  <c r="O120" i="1"/>
  <c r="O121" i="1"/>
  <c r="O122" i="1"/>
  <c r="O123" i="1"/>
  <c r="O124" i="1"/>
  <c r="O125" i="1"/>
  <c r="O126" i="1"/>
  <c r="O129" i="1"/>
  <c r="O130" i="1"/>
  <c r="O131" i="1"/>
  <c r="O132" i="1"/>
  <c r="O133" i="1"/>
  <c r="O135" i="1"/>
  <c r="O136" i="1"/>
  <c r="O138" i="1"/>
  <c r="N138" i="1"/>
  <c r="N136" i="1"/>
  <c r="N135" i="1"/>
  <c r="N133" i="1"/>
  <c r="N132" i="1"/>
  <c r="N131" i="1"/>
  <c r="N130" i="1"/>
  <c r="N129" i="1"/>
  <c r="N126" i="1"/>
  <c r="N125" i="1"/>
  <c r="N124" i="1"/>
  <c r="N123" i="1"/>
  <c r="N122" i="1"/>
  <c r="N121" i="1"/>
  <c r="N120" i="1"/>
  <c r="N119" i="1"/>
  <c r="N116" i="1"/>
  <c r="N115" i="1"/>
  <c r="N114" i="1"/>
  <c r="N113" i="1"/>
  <c r="N112" i="1"/>
  <c r="N111" i="1"/>
  <c r="N110" i="1"/>
  <c r="N109" i="1"/>
  <c r="N106" i="1"/>
  <c r="N105" i="1"/>
  <c r="N104" i="1"/>
  <c r="N103" i="1"/>
  <c r="N102" i="1"/>
  <c r="N101" i="1"/>
  <c r="N100" i="1"/>
  <c r="N99" i="1"/>
  <c r="N96" i="1"/>
  <c r="N95" i="1"/>
  <c r="N94" i="1"/>
  <c r="N88" i="1"/>
  <c r="N87" i="1"/>
  <c r="N85" i="1"/>
  <c r="N84" i="1"/>
  <c r="N83" i="1"/>
  <c r="N82" i="1"/>
  <c r="N81" i="1"/>
  <c r="N78" i="1"/>
  <c r="N77" i="1"/>
  <c r="N76" i="1"/>
  <c r="N75" i="1"/>
  <c r="N73" i="1"/>
  <c r="N72" i="1"/>
  <c r="N71" i="1"/>
  <c r="N70" i="1"/>
  <c r="N69" i="1"/>
  <c r="N67" i="1"/>
  <c r="N66" i="1"/>
  <c r="N65" i="1"/>
  <c r="N62" i="1"/>
  <c r="N61" i="1"/>
  <c r="N60" i="1"/>
  <c r="N58" i="1"/>
  <c r="N57" i="1"/>
  <c r="N51" i="1"/>
  <c r="N50" i="1"/>
  <c r="N49" i="1"/>
  <c r="N48" i="1"/>
  <c r="N47" i="1"/>
  <c r="N44" i="1"/>
  <c r="N43" i="1"/>
  <c r="N42" i="1"/>
  <c r="N41" i="1"/>
  <c r="N40" i="1"/>
  <c r="N36" i="1"/>
  <c r="N35" i="1"/>
  <c r="N34" i="1"/>
  <c r="N33" i="1"/>
  <c r="N32" i="1"/>
  <c r="N29" i="1"/>
  <c r="N28" i="1"/>
  <c r="N27" i="1"/>
  <c r="N26" i="1"/>
  <c r="N25" i="1"/>
  <c r="N24" i="1"/>
  <c r="N23" i="1"/>
  <c r="N19" i="1"/>
  <c r="N18" i="1"/>
  <c r="N17" i="1"/>
  <c r="N16" i="1"/>
  <c r="N15" i="1"/>
  <c r="N12" i="1"/>
  <c r="N11" i="1"/>
  <c r="N10" i="1"/>
  <c r="N8" i="1"/>
  <c r="N7" i="1"/>
  <c r="T63" i="1" l="1"/>
  <c r="V63" i="1"/>
  <c r="V56" i="1" s="1"/>
  <c r="V55" i="1" s="1"/>
  <c r="T21" i="1"/>
  <c r="V21" i="1"/>
  <c r="T38" i="1"/>
  <c r="V38" i="1"/>
  <c r="T56" i="1"/>
  <c r="T55" i="1" s="1"/>
  <c r="U21" i="1"/>
  <c r="U63" i="1"/>
  <c r="U56" i="1"/>
  <c r="U38" i="1"/>
  <c r="R64" i="1"/>
  <c r="S59" i="1"/>
  <c r="S39" i="1"/>
  <c r="R9" i="1"/>
  <c r="R14" i="1"/>
  <c r="R46" i="1"/>
  <c r="R59" i="1"/>
  <c r="R98" i="1"/>
  <c r="R128" i="1"/>
  <c r="R137" i="1"/>
  <c r="R139" i="1" s="1"/>
  <c r="S74" i="1"/>
  <c r="S64" i="1"/>
  <c r="R31" i="1"/>
  <c r="S80" i="1"/>
  <c r="R22" i="1"/>
  <c r="R118" i="1"/>
  <c r="S118" i="1"/>
  <c r="R80" i="1"/>
  <c r="S128" i="1"/>
  <c r="S98" i="1"/>
  <c r="S68" i="1"/>
  <c r="S14" i="1"/>
  <c r="R68" i="1"/>
  <c r="R108" i="1"/>
  <c r="S137" i="1"/>
  <c r="S139" i="1" s="1"/>
  <c r="S9" i="1"/>
  <c r="R39" i="1"/>
  <c r="R74" i="1"/>
  <c r="S108" i="1"/>
  <c r="S46" i="1"/>
  <c r="S22" i="1"/>
  <c r="S21" i="1" s="1"/>
  <c r="Q14" i="1"/>
  <c r="Q31" i="1"/>
  <c r="Q128" i="1"/>
  <c r="P137" i="1"/>
  <c r="P139" i="1" s="1"/>
  <c r="Q9" i="1"/>
  <c r="Q64" i="1"/>
  <c r="Q137" i="1"/>
  <c r="Q139" i="1" s="1"/>
  <c r="Q22" i="1"/>
  <c r="P128" i="1"/>
  <c r="Q39" i="1"/>
  <c r="Q46" i="1"/>
  <c r="Q59" i="1"/>
  <c r="Q68" i="1"/>
  <c r="Q74" i="1"/>
  <c r="Q80" i="1"/>
  <c r="Q98" i="1"/>
  <c r="Q108" i="1"/>
  <c r="Q118" i="1"/>
  <c r="P9" i="1"/>
  <c r="P14" i="1"/>
  <c r="P22" i="1"/>
  <c r="P31" i="1"/>
  <c r="P46" i="1"/>
  <c r="P59" i="1"/>
  <c r="P64" i="1"/>
  <c r="P68" i="1"/>
  <c r="P74" i="1"/>
  <c r="P80" i="1"/>
  <c r="P98" i="1"/>
  <c r="P108" i="1"/>
  <c r="P118" i="1"/>
  <c r="P39" i="1"/>
  <c r="O128" i="1"/>
  <c r="O137" i="1"/>
  <c r="O139" i="1" s="1"/>
  <c r="O64" i="1"/>
  <c r="O14" i="1"/>
  <c r="O74" i="1"/>
  <c r="O31" i="1"/>
  <c r="O108" i="1"/>
  <c r="O46" i="1"/>
  <c r="O118" i="1"/>
  <c r="O98" i="1"/>
  <c r="O68" i="1"/>
  <c r="O63" i="1" s="1"/>
  <c r="O80" i="1"/>
  <c r="O59" i="1"/>
  <c r="O39" i="1"/>
  <c r="O22" i="1"/>
  <c r="O9" i="1"/>
  <c r="M7" i="1"/>
  <c r="N128" i="1"/>
  <c r="N118" i="1"/>
  <c r="N108" i="1"/>
  <c r="N98" i="1"/>
  <c r="N137" i="1"/>
  <c r="N80" i="1"/>
  <c r="N74" i="1"/>
  <c r="N68" i="1"/>
  <c r="N64" i="1"/>
  <c r="N59" i="1"/>
  <c r="N46" i="1"/>
  <c r="N39" i="1"/>
  <c r="N31" i="1"/>
  <c r="N22" i="1"/>
  <c r="N14" i="1"/>
  <c r="N9" i="1"/>
  <c r="M138" i="1"/>
  <c r="M136" i="1"/>
  <c r="M135" i="1"/>
  <c r="M133" i="1"/>
  <c r="M132" i="1"/>
  <c r="M131" i="1"/>
  <c r="M130" i="1"/>
  <c r="M129" i="1"/>
  <c r="M126" i="1"/>
  <c r="M125" i="1"/>
  <c r="M124" i="1"/>
  <c r="M123" i="1"/>
  <c r="M122" i="1"/>
  <c r="M121" i="1"/>
  <c r="M120" i="1"/>
  <c r="M119" i="1"/>
  <c r="M116" i="1"/>
  <c r="M115" i="1"/>
  <c r="M114" i="1"/>
  <c r="M113" i="1"/>
  <c r="M112" i="1"/>
  <c r="M111" i="1"/>
  <c r="M110" i="1"/>
  <c r="M109" i="1"/>
  <c r="M106" i="1"/>
  <c r="M105" i="1"/>
  <c r="M104" i="1"/>
  <c r="M103" i="1"/>
  <c r="M102" i="1"/>
  <c r="M101" i="1"/>
  <c r="M100" i="1"/>
  <c r="M99" i="1"/>
  <c r="M96" i="1"/>
  <c r="M95" i="1"/>
  <c r="M94" i="1"/>
  <c r="M88" i="1"/>
  <c r="M87" i="1"/>
  <c r="M85" i="1"/>
  <c r="M84" i="1"/>
  <c r="M83" i="1"/>
  <c r="M82" i="1"/>
  <c r="M81" i="1"/>
  <c r="M78" i="1"/>
  <c r="M77" i="1"/>
  <c r="M76" i="1"/>
  <c r="M75" i="1"/>
  <c r="M73" i="1"/>
  <c r="M72" i="1"/>
  <c r="M71" i="1"/>
  <c r="M70" i="1"/>
  <c r="M69" i="1"/>
  <c r="M67" i="1"/>
  <c r="M66" i="1"/>
  <c r="M65" i="1"/>
  <c r="M62" i="1"/>
  <c r="M61" i="1"/>
  <c r="M60" i="1"/>
  <c r="M58" i="1"/>
  <c r="M57" i="1"/>
  <c r="M51" i="1"/>
  <c r="M50" i="1"/>
  <c r="M49" i="1"/>
  <c r="M48" i="1"/>
  <c r="M47" i="1"/>
  <c r="M44" i="1"/>
  <c r="M43" i="1"/>
  <c r="M42" i="1"/>
  <c r="M41" i="1"/>
  <c r="M40" i="1"/>
  <c r="M36" i="1"/>
  <c r="M35" i="1"/>
  <c r="M34" i="1"/>
  <c r="M33" i="1"/>
  <c r="M32" i="1"/>
  <c r="M29" i="1"/>
  <c r="M28" i="1"/>
  <c r="M27" i="1"/>
  <c r="M26" i="1"/>
  <c r="M25" i="1"/>
  <c r="M24" i="1"/>
  <c r="M23" i="1"/>
  <c r="M19" i="1"/>
  <c r="M18" i="1"/>
  <c r="M17" i="1"/>
  <c r="M16" i="1"/>
  <c r="M15" i="1"/>
  <c r="M12" i="1"/>
  <c r="M11" i="1"/>
  <c r="M10" i="1"/>
  <c r="M8" i="1"/>
  <c r="L120" i="1"/>
  <c r="L138" i="1"/>
  <c r="L136" i="1"/>
  <c r="L135" i="1"/>
  <c r="L133" i="1"/>
  <c r="L132" i="1"/>
  <c r="L131" i="1"/>
  <c r="L130" i="1"/>
  <c r="L129" i="1"/>
  <c r="L126" i="1"/>
  <c r="L125" i="1"/>
  <c r="L124" i="1"/>
  <c r="L123" i="1"/>
  <c r="L122" i="1"/>
  <c r="L121" i="1"/>
  <c r="L119" i="1"/>
  <c r="L116" i="1"/>
  <c r="L115" i="1"/>
  <c r="L114" i="1"/>
  <c r="L113" i="1"/>
  <c r="L112" i="1"/>
  <c r="L111" i="1"/>
  <c r="L110" i="1"/>
  <c r="L109" i="1"/>
  <c r="L106" i="1"/>
  <c r="L105" i="1"/>
  <c r="L104" i="1"/>
  <c r="L103" i="1"/>
  <c r="L102" i="1"/>
  <c r="L101" i="1"/>
  <c r="L100" i="1"/>
  <c r="L99" i="1"/>
  <c r="L96" i="1"/>
  <c r="L95" i="1"/>
  <c r="L94" i="1"/>
  <c r="L88" i="1"/>
  <c r="L87" i="1"/>
  <c r="L85" i="1"/>
  <c r="L84" i="1"/>
  <c r="L83" i="1"/>
  <c r="L82" i="1"/>
  <c r="L81" i="1"/>
  <c r="L78" i="1"/>
  <c r="L77" i="1"/>
  <c r="L76" i="1"/>
  <c r="L75" i="1"/>
  <c r="L73" i="1"/>
  <c r="L72" i="1"/>
  <c r="L71" i="1"/>
  <c r="L70" i="1"/>
  <c r="L69" i="1"/>
  <c r="L67" i="1"/>
  <c r="L66" i="1"/>
  <c r="L65" i="1"/>
  <c r="L62" i="1"/>
  <c r="L61" i="1"/>
  <c r="L60" i="1"/>
  <c r="L58" i="1"/>
  <c r="L57" i="1"/>
  <c r="L51" i="1"/>
  <c r="L50" i="1"/>
  <c r="L49" i="1"/>
  <c r="L48" i="1"/>
  <c r="L47" i="1"/>
  <c r="L44" i="1"/>
  <c r="L43" i="1"/>
  <c r="L42" i="1"/>
  <c r="L41" i="1"/>
  <c r="L40" i="1"/>
  <c r="L36" i="1"/>
  <c r="L35" i="1"/>
  <c r="L34" i="1"/>
  <c r="L33" i="1"/>
  <c r="L32" i="1"/>
  <c r="L29" i="1"/>
  <c r="L28" i="1"/>
  <c r="L27" i="1"/>
  <c r="L26" i="1"/>
  <c r="L25" i="1"/>
  <c r="L24" i="1"/>
  <c r="L23" i="1"/>
  <c r="L19" i="1"/>
  <c r="L18" i="1"/>
  <c r="L17" i="1"/>
  <c r="L16" i="1"/>
  <c r="L15" i="1"/>
  <c r="L12" i="1"/>
  <c r="L11" i="1"/>
  <c r="L10" i="1"/>
  <c r="L8" i="1"/>
  <c r="L7" i="1"/>
  <c r="V89" i="1" l="1"/>
  <c r="T89" i="1"/>
  <c r="Q21" i="1"/>
  <c r="R38" i="1"/>
  <c r="U55" i="1"/>
  <c r="R63" i="1"/>
  <c r="R56" i="1" s="1"/>
  <c r="R55" i="1" s="1"/>
  <c r="S63" i="1"/>
  <c r="S56" i="1" s="1"/>
  <c r="S55" i="1" s="1"/>
  <c r="R21" i="1"/>
  <c r="S38" i="1"/>
  <c r="Q63" i="1"/>
  <c r="Q56" i="1" s="1"/>
  <c r="Q55" i="1" s="1"/>
  <c r="Q38" i="1"/>
  <c r="P38" i="1"/>
  <c r="P21" i="1"/>
  <c r="P63" i="1"/>
  <c r="P56" i="1" s="1"/>
  <c r="P55" i="1" s="1"/>
  <c r="O21" i="1"/>
  <c r="O56" i="1"/>
  <c r="O55" i="1" s="1"/>
  <c r="O38" i="1"/>
  <c r="M39" i="1"/>
  <c r="M137" i="1"/>
  <c r="M139" i="1" s="1"/>
  <c r="N21" i="1"/>
  <c r="N38" i="1"/>
  <c r="N63" i="1"/>
  <c r="N139" i="1"/>
  <c r="M108" i="1"/>
  <c r="M9" i="1"/>
  <c r="M68" i="1"/>
  <c r="M14" i="1"/>
  <c r="M22" i="1"/>
  <c r="M31" i="1"/>
  <c r="M46" i="1"/>
  <c r="M38" i="1" s="1"/>
  <c r="M59" i="1"/>
  <c r="M64" i="1"/>
  <c r="M74" i="1"/>
  <c r="M80" i="1"/>
  <c r="M98" i="1"/>
  <c r="M118" i="1"/>
  <c r="M128" i="1"/>
  <c r="L9" i="1"/>
  <c r="L14" i="1"/>
  <c r="L22" i="1"/>
  <c r="L31" i="1"/>
  <c r="L39" i="1"/>
  <c r="L46" i="1"/>
  <c r="L59" i="1"/>
  <c r="L64" i="1"/>
  <c r="L68" i="1"/>
  <c r="L74" i="1"/>
  <c r="L80" i="1"/>
  <c r="L98" i="1"/>
  <c r="L108" i="1"/>
  <c r="L118" i="1"/>
  <c r="L128" i="1"/>
  <c r="L137" i="1"/>
  <c r="L139" i="1" s="1"/>
  <c r="K138" i="1"/>
  <c r="K136" i="1"/>
  <c r="K135" i="1"/>
  <c r="K133" i="1"/>
  <c r="K132" i="1"/>
  <c r="K131" i="1"/>
  <c r="K130" i="1"/>
  <c r="K129" i="1"/>
  <c r="K126" i="1"/>
  <c r="K125" i="1"/>
  <c r="K124" i="1"/>
  <c r="K123" i="1"/>
  <c r="K122" i="1"/>
  <c r="K121" i="1"/>
  <c r="K120" i="1"/>
  <c r="K119" i="1"/>
  <c r="K116" i="1"/>
  <c r="K115" i="1"/>
  <c r="K114" i="1"/>
  <c r="K113" i="1"/>
  <c r="K112" i="1"/>
  <c r="K111" i="1"/>
  <c r="K110" i="1"/>
  <c r="K109" i="1"/>
  <c r="K106" i="1"/>
  <c r="K105" i="1"/>
  <c r="K104" i="1"/>
  <c r="K103" i="1"/>
  <c r="K102" i="1"/>
  <c r="K101" i="1"/>
  <c r="K100" i="1"/>
  <c r="K99" i="1"/>
  <c r="K95" i="1"/>
  <c r="K96" i="1"/>
  <c r="K94" i="1"/>
  <c r="K88" i="1"/>
  <c r="K87" i="1"/>
  <c r="K85" i="1"/>
  <c r="K84" i="1"/>
  <c r="K83" i="1"/>
  <c r="K82" i="1"/>
  <c r="K81" i="1"/>
  <c r="K78" i="1"/>
  <c r="K77" i="1"/>
  <c r="K76" i="1"/>
  <c r="K75" i="1"/>
  <c r="K73" i="1"/>
  <c r="K72" i="1"/>
  <c r="K71" i="1"/>
  <c r="K70" i="1"/>
  <c r="K69" i="1"/>
  <c r="K67" i="1"/>
  <c r="K66" i="1"/>
  <c r="K65" i="1"/>
  <c r="K62" i="1"/>
  <c r="K61" i="1"/>
  <c r="K60" i="1"/>
  <c r="K58" i="1"/>
  <c r="K57" i="1"/>
  <c r="K51" i="1"/>
  <c r="K50" i="1"/>
  <c r="K49" i="1"/>
  <c r="K48" i="1"/>
  <c r="K47" i="1"/>
  <c r="K44" i="1"/>
  <c r="K43" i="1"/>
  <c r="K42" i="1"/>
  <c r="K41" i="1"/>
  <c r="K40" i="1"/>
  <c r="K36" i="1"/>
  <c r="K35" i="1"/>
  <c r="K34" i="1"/>
  <c r="K33" i="1"/>
  <c r="K32" i="1"/>
  <c r="K29" i="1"/>
  <c r="K28" i="1"/>
  <c r="K27" i="1"/>
  <c r="K26" i="1"/>
  <c r="K25" i="1"/>
  <c r="K24" i="1"/>
  <c r="K23" i="1"/>
  <c r="K19" i="1"/>
  <c r="K18" i="1"/>
  <c r="K17" i="1"/>
  <c r="K16" i="1"/>
  <c r="K12" i="1"/>
  <c r="K11" i="1"/>
  <c r="K10" i="1"/>
  <c r="K8" i="1"/>
  <c r="K7" i="1"/>
  <c r="R89" i="1" l="1"/>
  <c r="S89" i="1"/>
  <c r="Q89" i="1"/>
  <c r="P89" i="1"/>
  <c r="O89" i="1"/>
  <c r="N56" i="1"/>
  <c r="M63" i="1"/>
  <c r="M56" i="1" s="1"/>
  <c r="M55" i="1" s="1"/>
  <c r="M21" i="1"/>
  <c r="L63" i="1"/>
  <c r="L56" i="1" s="1"/>
  <c r="L55" i="1" s="1"/>
  <c r="L21" i="1"/>
  <c r="L38" i="1"/>
  <c r="K15" i="1"/>
  <c r="W139" i="3"/>
  <c r="W140" i="3" s="1"/>
  <c r="W137" i="3"/>
  <c r="W136" i="3"/>
  <c r="W134" i="3"/>
  <c r="W133" i="3"/>
  <c r="W132" i="3"/>
  <c r="W131" i="3"/>
  <c r="W129" i="3" s="1"/>
  <c r="W127" i="3"/>
  <c r="W126" i="3"/>
  <c r="W119" i="3" s="1"/>
  <c r="W125" i="3"/>
  <c r="W124" i="3"/>
  <c r="W116" i="3"/>
  <c r="W109" i="3" s="1"/>
  <c r="W114" i="3"/>
  <c r="W107" i="3"/>
  <c r="W106" i="3"/>
  <c r="W99" i="3" s="1"/>
  <c r="W105" i="3"/>
  <c r="W104" i="3"/>
  <c r="W97" i="3"/>
  <c r="W138" i="3" s="1"/>
  <c r="W96" i="3"/>
  <c r="W95" i="3"/>
  <c r="W88" i="3"/>
  <c r="W87" i="3"/>
  <c r="W85" i="3"/>
  <c r="W84" i="3"/>
  <c r="W83" i="3"/>
  <c r="W80" i="3" s="1"/>
  <c r="W78" i="3"/>
  <c r="W72" i="3"/>
  <c r="W68" i="3"/>
  <c r="W63" i="3"/>
  <c r="W56" i="3"/>
  <c r="W49" i="3"/>
  <c r="W48" i="3" s="1"/>
  <c r="W45" i="3"/>
  <c r="W41" i="3" s="1"/>
  <c r="W40" i="3"/>
  <c r="W38" i="3"/>
  <c r="W33" i="3"/>
  <c r="W22" i="3"/>
  <c r="W21" i="3"/>
  <c r="W16" i="3"/>
  <c r="W15" i="3"/>
  <c r="W14" i="3" s="1"/>
  <c r="W11" i="3"/>
  <c r="W9" i="3" s="1"/>
  <c r="W10" i="3"/>
  <c r="W8" i="3"/>
  <c r="W7" i="3"/>
  <c r="V139" i="3"/>
  <c r="V137" i="3"/>
  <c r="V134" i="3"/>
  <c r="V133" i="3"/>
  <c r="V132" i="3"/>
  <c r="V130" i="3"/>
  <c r="V129" i="3" s="1"/>
  <c r="V127" i="3"/>
  <c r="V126" i="3"/>
  <c r="V125" i="3"/>
  <c r="V119" i="3" s="1"/>
  <c r="V124" i="3"/>
  <c r="V116" i="3"/>
  <c r="V109" i="3"/>
  <c r="V107" i="3"/>
  <c r="V106" i="3"/>
  <c r="V104" i="3"/>
  <c r="V99" i="3"/>
  <c r="V96" i="3"/>
  <c r="V97" i="3" s="1"/>
  <c r="V138" i="3" s="1"/>
  <c r="V95" i="3"/>
  <c r="V88" i="3"/>
  <c r="V87" i="3"/>
  <c r="V85" i="3"/>
  <c r="V84" i="3"/>
  <c r="V80" i="3" s="1"/>
  <c r="V83" i="3"/>
  <c r="V81" i="3"/>
  <c r="V78" i="3"/>
  <c r="V74" i="3" s="1"/>
  <c r="V72" i="3"/>
  <c r="V68" i="3"/>
  <c r="V63" i="3"/>
  <c r="V59" i="3"/>
  <c r="V56" i="3"/>
  <c r="V55" i="3"/>
  <c r="V49" i="3"/>
  <c r="V48" i="3" s="1"/>
  <c r="V40" i="3" s="1"/>
  <c r="V45" i="3"/>
  <c r="V41" i="3"/>
  <c r="V38" i="3"/>
  <c r="V33" i="3"/>
  <c r="V21" i="3" s="1"/>
  <c r="V22" i="3"/>
  <c r="V16" i="3"/>
  <c r="V15" i="3"/>
  <c r="V14" i="3"/>
  <c r="V11" i="3"/>
  <c r="V9" i="3" s="1"/>
  <c r="V8" i="3" s="1"/>
  <c r="V10" i="3"/>
  <c r="V7" i="3"/>
  <c r="K137" i="1"/>
  <c r="J138" i="1"/>
  <c r="J136" i="1"/>
  <c r="J135" i="1"/>
  <c r="J133" i="1"/>
  <c r="J132" i="1"/>
  <c r="J131" i="1"/>
  <c r="J130" i="1"/>
  <c r="J129" i="1"/>
  <c r="J126" i="1"/>
  <c r="J125" i="1"/>
  <c r="J124" i="1"/>
  <c r="J123" i="1"/>
  <c r="J122" i="1"/>
  <c r="J121" i="1"/>
  <c r="J120" i="1"/>
  <c r="J119" i="1"/>
  <c r="J116" i="1"/>
  <c r="J115" i="1"/>
  <c r="J114" i="1"/>
  <c r="J113" i="1"/>
  <c r="J112" i="1"/>
  <c r="J111" i="1"/>
  <c r="J110" i="1"/>
  <c r="J109" i="1"/>
  <c r="J106" i="1"/>
  <c r="J105" i="1"/>
  <c r="J104" i="1"/>
  <c r="J103" i="1"/>
  <c r="J102" i="1"/>
  <c r="J101" i="1"/>
  <c r="J100" i="1"/>
  <c r="J99" i="1"/>
  <c r="J96" i="1"/>
  <c r="J95" i="1"/>
  <c r="J94" i="1"/>
  <c r="J88" i="1"/>
  <c r="J87" i="1"/>
  <c r="J85" i="1"/>
  <c r="J84" i="1"/>
  <c r="J83" i="1"/>
  <c r="J82" i="1"/>
  <c r="J81" i="1"/>
  <c r="J78" i="1"/>
  <c r="J77" i="1"/>
  <c r="J76" i="1"/>
  <c r="J75" i="1"/>
  <c r="J73" i="1"/>
  <c r="J72" i="1"/>
  <c r="J71" i="1"/>
  <c r="J70" i="1"/>
  <c r="J69" i="1"/>
  <c r="J67" i="1"/>
  <c r="J66" i="1"/>
  <c r="J65" i="1"/>
  <c r="J62" i="1"/>
  <c r="J61" i="1"/>
  <c r="J60" i="1"/>
  <c r="J58" i="1"/>
  <c r="J57" i="1"/>
  <c r="J51" i="1"/>
  <c r="J50" i="1"/>
  <c r="J49" i="1"/>
  <c r="J48" i="1"/>
  <c r="J47" i="1"/>
  <c r="J44" i="1"/>
  <c r="J43" i="1"/>
  <c r="J42" i="1"/>
  <c r="J41" i="1"/>
  <c r="J40" i="1"/>
  <c r="J36" i="1"/>
  <c r="J35" i="1"/>
  <c r="J34" i="1"/>
  <c r="J33" i="1"/>
  <c r="J32" i="1"/>
  <c r="J29" i="1"/>
  <c r="J28" i="1"/>
  <c r="J27" i="1"/>
  <c r="J26" i="1"/>
  <c r="J25" i="1"/>
  <c r="J24" i="1"/>
  <c r="J23" i="1"/>
  <c r="J19" i="1"/>
  <c r="J18" i="1"/>
  <c r="J17" i="1"/>
  <c r="J16" i="1"/>
  <c r="J15" i="1"/>
  <c r="J12" i="1"/>
  <c r="J11" i="1"/>
  <c r="J10" i="1"/>
  <c r="J8" i="1"/>
  <c r="J7" i="1"/>
  <c r="I138" i="1"/>
  <c r="I135" i="1"/>
  <c r="I136" i="1"/>
  <c r="I133" i="1"/>
  <c r="I132" i="1"/>
  <c r="I131" i="1"/>
  <c r="I130" i="1"/>
  <c r="I129" i="1"/>
  <c r="I126" i="1"/>
  <c r="I125" i="1"/>
  <c r="I124" i="1"/>
  <c r="I123" i="1"/>
  <c r="I122" i="1"/>
  <c r="I121" i="1"/>
  <c r="I120" i="1"/>
  <c r="I119" i="1"/>
  <c r="I116" i="1"/>
  <c r="I115" i="1"/>
  <c r="I114" i="1"/>
  <c r="I113" i="1"/>
  <c r="I112" i="1"/>
  <c r="I111" i="1"/>
  <c r="I110" i="1"/>
  <c r="I109" i="1"/>
  <c r="I100" i="1"/>
  <c r="I101" i="1"/>
  <c r="I102" i="1"/>
  <c r="I103" i="1"/>
  <c r="I104" i="1"/>
  <c r="I105" i="1"/>
  <c r="I106" i="1"/>
  <c r="I99" i="1"/>
  <c r="I96" i="1"/>
  <c r="I95" i="1"/>
  <c r="I94" i="1"/>
  <c r="I88" i="1"/>
  <c r="I87" i="1"/>
  <c r="I82" i="1"/>
  <c r="I83" i="1"/>
  <c r="I84" i="1"/>
  <c r="I85" i="1"/>
  <c r="I81" i="1"/>
  <c r="I78" i="1"/>
  <c r="I77" i="1"/>
  <c r="I76" i="1"/>
  <c r="I75" i="1"/>
  <c r="I73" i="1"/>
  <c r="I72" i="1"/>
  <c r="I71" i="1"/>
  <c r="I70" i="1"/>
  <c r="I69" i="1"/>
  <c r="I67" i="1"/>
  <c r="I66" i="1"/>
  <c r="I65" i="1"/>
  <c r="I61" i="1"/>
  <c r="I62" i="1"/>
  <c r="I60" i="1"/>
  <c r="I58" i="1"/>
  <c r="I57" i="1"/>
  <c r="I48" i="1"/>
  <c r="I49" i="1"/>
  <c r="I50" i="1"/>
  <c r="I51" i="1"/>
  <c r="I47" i="1"/>
  <c r="I41" i="1"/>
  <c r="I42" i="1"/>
  <c r="I43" i="1"/>
  <c r="I44" i="1"/>
  <c r="I40" i="1"/>
  <c r="I33" i="1"/>
  <c r="I34" i="1"/>
  <c r="I35" i="1"/>
  <c r="I36" i="1"/>
  <c r="I32" i="1"/>
  <c r="I24" i="1"/>
  <c r="I25" i="1"/>
  <c r="I26" i="1"/>
  <c r="I27" i="1"/>
  <c r="I28" i="1"/>
  <c r="I29" i="1"/>
  <c r="I23" i="1"/>
  <c r="I16" i="1"/>
  <c r="I17" i="1"/>
  <c r="I18" i="1"/>
  <c r="I19" i="1"/>
  <c r="I15" i="1"/>
  <c r="I11" i="1"/>
  <c r="I12" i="1"/>
  <c r="I10" i="1"/>
  <c r="I8" i="1"/>
  <c r="I7" i="1"/>
  <c r="H138" i="1"/>
  <c r="H136" i="1"/>
  <c r="H135" i="1"/>
  <c r="H133" i="1"/>
  <c r="H132" i="1"/>
  <c r="H131" i="1"/>
  <c r="H130" i="1"/>
  <c r="H129" i="1"/>
  <c r="H126" i="1"/>
  <c r="H125" i="1"/>
  <c r="H124" i="1"/>
  <c r="H123" i="1"/>
  <c r="H122" i="1"/>
  <c r="H121" i="1"/>
  <c r="H120" i="1"/>
  <c r="H119" i="1"/>
  <c r="H116" i="1"/>
  <c r="H115" i="1"/>
  <c r="H114" i="1"/>
  <c r="H113" i="1"/>
  <c r="H112" i="1"/>
  <c r="H111" i="1"/>
  <c r="H110" i="1"/>
  <c r="H109" i="1"/>
  <c r="H106" i="1"/>
  <c r="H105" i="1"/>
  <c r="H104" i="1"/>
  <c r="H103" i="1"/>
  <c r="H102" i="1"/>
  <c r="H101" i="1"/>
  <c r="H100" i="1"/>
  <c r="H99" i="1"/>
  <c r="H95" i="1"/>
  <c r="H96" i="1"/>
  <c r="H94" i="1"/>
  <c r="H88" i="1"/>
  <c r="H87" i="1"/>
  <c r="H85" i="1"/>
  <c r="H84" i="1"/>
  <c r="H83" i="1"/>
  <c r="H82" i="1"/>
  <c r="H81" i="1"/>
  <c r="H78" i="1"/>
  <c r="H77" i="1"/>
  <c r="H76" i="1"/>
  <c r="H75" i="1"/>
  <c r="H73" i="1"/>
  <c r="H72" i="1"/>
  <c r="H71" i="1"/>
  <c r="H70" i="1"/>
  <c r="H69" i="1"/>
  <c r="H67" i="1"/>
  <c r="H66" i="1"/>
  <c r="H65" i="1"/>
  <c r="H62" i="1"/>
  <c r="H61" i="1"/>
  <c r="H60" i="1"/>
  <c r="H58" i="1"/>
  <c r="H57" i="1"/>
  <c r="H51" i="1"/>
  <c r="H50" i="1"/>
  <c r="H49" i="1"/>
  <c r="H48" i="1"/>
  <c r="H47" i="1"/>
  <c r="H44" i="1"/>
  <c r="H43" i="1"/>
  <c r="H42" i="1"/>
  <c r="H41" i="1"/>
  <c r="H40" i="1"/>
  <c r="H36" i="1"/>
  <c r="H35" i="1"/>
  <c r="H34" i="1"/>
  <c r="H33" i="1"/>
  <c r="H32" i="1"/>
  <c r="H29" i="1"/>
  <c r="H28" i="1"/>
  <c r="H27" i="1"/>
  <c r="H26" i="1"/>
  <c r="H25" i="1"/>
  <c r="H24" i="1"/>
  <c r="H23" i="1"/>
  <c r="H19" i="1"/>
  <c r="H18" i="1"/>
  <c r="H17" i="1"/>
  <c r="H16" i="1"/>
  <c r="H15" i="1"/>
  <c r="H12" i="1"/>
  <c r="H11" i="1"/>
  <c r="H10" i="1"/>
  <c r="H8" i="1"/>
  <c r="H7" i="1"/>
  <c r="N55" i="1" l="1"/>
  <c r="M89" i="1"/>
  <c r="L89" i="1"/>
  <c r="J39" i="1"/>
  <c r="J137" i="1"/>
  <c r="J139" i="1" s="1"/>
  <c r="J64" i="1"/>
  <c r="K46" i="1"/>
  <c r="K128" i="1"/>
  <c r="W89" i="3"/>
  <c r="W55" i="3"/>
  <c r="V89" i="3"/>
  <c r="V140" i="3"/>
  <c r="K9" i="1"/>
  <c r="K98" i="1"/>
  <c r="K139" i="1"/>
  <c r="K118" i="1"/>
  <c r="K108" i="1"/>
  <c r="J9" i="1"/>
  <c r="J46" i="1"/>
  <c r="J59" i="1"/>
  <c r="J74" i="1"/>
  <c r="J98" i="1"/>
  <c r="J108" i="1"/>
  <c r="J118" i="1"/>
  <c r="J128" i="1"/>
  <c r="J22" i="1"/>
  <c r="J68" i="1"/>
  <c r="J14" i="1"/>
  <c r="J31" i="1"/>
  <c r="J80" i="1"/>
  <c r="I80" i="1"/>
  <c r="I108" i="1"/>
  <c r="I118" i="1"/>
  <c r="I128" i="1"/>
  <c r="I59" i="1"/>
  <c r="I68" i="1"/>
  <c r="I39" i="1"/>
  <c r="I14" i="1"/>
  <c r="I74" i="1"/>
  <c r="I98" i="1"/>
  <c r="I64" i="1"/>
  <c r="I137" i="1"/>
  <c r="I139" i="1" s="1"/>
  <c r="I46" i="1"/>
  <c r="I31" i="1"/>
  <c r="I22" i="1"/>
  <c r="I9" i="1"/>
  <c r="H9" i="1"/>
  <c r="H14" i="1"/>
  <c r="H22" i="1"/>
  <c r="H31" i="1"/>
  <c r="H39" i="1"/>
  <c r="H46" i="1"/>
  <c r="H59" i="1"/>
  <c r="H64" i="1"/>
  <c r="H68" i="1"/>
  <c r="H74" i="1"/>
  <c r="H80" i="1"/>
  <c r="H98" i="1"/>
  <c r="H108" i="1"/>
  <c r="H118" i="1"/>
  <c r="H128" i="1"/>
  <c r="H137" i="1"/>
  <c r="H139" i="1" s="1"/>
  <c r="N89" i="1" l="1"/>
  <c r="J63" i="1"/>
  <c r="J38" i="1"/>
  <c r="J21" i="1"/>
  <c r="K39" i="1"/>
  <c r="K38" i="1" s="1"/>
  <c r="K31" i="1" s="1"/>
  <c r="K22" i="1" s="1"/>
  <c r="K21" i="1" s="1"/>
  <c r="K14" i="1" s="1"/>
  <c r="J56" i="1"/>
  <c r="J55" i="1" s="1"/>
  <c r="I38" i="1"/>
  <c r="I21" i="1"/>
  <c r="I63" i="1"/>
  <c r="I56" i="1" s="1"/>
  <c r="I55" i="1" s="1"/>
  <c r="H63" i="1"/>
  <c r="H56" i="1" s="1"/>
  <c r="H55" i="1" s="1"/>
  <c r="H21" i="1"/>
  <c r="H38" i="1"/>
  <c r="G138" i="1"/>
  <c r="G136" i="1"/>
  <c r="G135" i="1"/>
  <c r="G133" i="1"/>
  <c r="G132" i="1"/>
  <c r="G131" i="1"/>
  <c r="G130" i="1"/>
  <c r="G129" i="1"/>
  <c r="G126" i="1"/>
  <c r="G125" i="1"/>
  <c r="G124" i="1"/>
  <c r="G123" i="1"/>
  <c r="G122" i="1"/>
  <c r="G121" i="1"/>
  <c r="G120" i="1"/>
  <c r="G119" i="1"/>
  <c r="G116" i="1"/>
  <c r="G115" i="1"/>
  <c r="G114" i="1"/>
  <c r="G113" i="1"/>
  <c r="G112" i="1"/>
  <c r="G111" i="1"/>
  <c r="G110" i="1"/>
  <c r="G109" i="1"/>
  <c r="G106" i="1"/>
  <c r="G100" i="1"/>
  <c r="G101" i="1"/>
  <c r="G102" i="1"/>
  <c r="G103" i="1"/>
  <c r="G104" i="1"/>
  <c r="G105" i="1"/>
  <c r="G99" i="1"/>
  <c r="G96" i="1"/>
  <c r="G95" i="1"/>
  <c r="G94" i="1"/>
  <c r="G88" i="1"/>
  <c r="G87" i="1"/>
  <c r="G85" i="1"/>
  <c r="G84" i="1"/>
  <c r="G83" i="1"/>
  <c r="G82" i="1"/>
  <c r="G81" i="1"/>
  <c r="G78" i="1"/>
  <c r="G77" i="1"/>
  <c r="G76" i="1"/>
  <c r="G75" i="1"/>
  <c r="G73" i="1"/>
  <c r="G72" i="1"/>
  <c r="G71" i="1"/>
  <c r="G70" i="1"/>
  <c r="G69" i="1"/>
  <c r="G67" i="1"/>
  <c r="G66" i="1"/>
  <c r="G65" i="1"/>
  <c r="G62" i="1"/>
  <c r="G61" i="1"/>
  <c r="G60" i="1"/>
  <c r="G58" i="1"/>
  <c r="G57" i="1"/>
  <c r="G51" i="1"/>
  <c r="G50" i="1"/>
  <c r="G49" i="1"/>
  <c r="G48" i="1"/>
  <c r="G47" i="1"/>
  <c r="G44" i="1"/>
  <c r="G43" i="1"/>
  <c r="G42" i="1"/>
  <c r="G41" i="1"/>
  <c r="G40" i="1"/>
  <c r="G36" i="1"/>
  <c r="G35" i="1"/>
  <c r="G34" i="1"/>
  <c r="G33" i="1"/>
  <c r="G32" i="1"/>
  <c r="G29" i="1"/>
  <c r="G28" i="1"/>
  <c r="G27" i="1"/>
  <c r="G26" i="1"/>
  <c r="G25" i="1"/>
  <c r="G24" i="1"/>
  <c r="G23" i="1"/>
  <c r="G19" i="1"/>
  <c r="G18" i="1"/>
  <c r="G17" i="1"/>
  <c r="G16" i="1"/>
  <c r="G15" i="1"/>
  <c r="G12" i="1"/>
  <c r="G11" i="1"/>
  <c r="G10" i="1"/>
  <c r="G8" i="1"/>
  <c r="G7" i="1"/>
  <c r="J89" i="1" l="1"/>
  <c r="G64" i="1"/>
  <c r="I89" i="1"/>
  <c r="G59" i="1"/>
  <c r="H89" i="1"/>
  <c r="G14" i="1"/>
  <c r="G22" i="1"/>
  <c r="G68" i="1"/>
  <c r="G9" i="1"/>
  <c r="G80" i="1"/>
  <c r="G137" i="1"/>
  <c r="G139" i="1" s="1"/>
  <c r="G128" i="1"/>
  <c r="G46" i="1"/>
  <c r="G108" i="1"/>
  <c r="G118" i="1"/>
  <c r="G31" i="1"/>
  <c r="G39" i="1"/>
  <c r="G38" i="1" s="1"/>
  <c r="G98" i="1"/>
  <c r="G74" i="1"/>
  <c r="G63" i="1" l="1"/>
  <c r="G56" i="1" s="1"/>
  <c r="G55" i="1" s="1"/>
  <c r="G21" i="1"/>
  <c r="G89" i="1" l="1"/>
  <c r="F78" i="1"/>
  <c r="F77" i="1"/>
  <c r="F76" i="1"/>
  <c r="F75" i="1"/>
  <c r="F73" i="1"/>
  <c r="F72" i="1"/>
  <c r="F71" i="1"/>
  <c r="F70" i="1"/>
  <c r="F69" i="1"/>
  <c r="F67" i="1"/>
  <c r="F66" i="1"/>
  <c r="F65" i="1"/>
  <c r="F61" i="1"/>
  <c r="F62" i="1"/>
  <c r="F60" i="1"/>
  <c r="F138" i="1"/>
  <c r="F136" i="1"/>
  <c r="F135" i="1"/>
  <c r="F96" i="1"/>
  <c r="F95" i="1"/>
  <c r="F94" i="1"/>
  <c r="F88" i="1"/>
  <c r="F87" i="1"/>
  <c r="F133" i="1"/>
  <c r="F132" i="1"/>
  <c r="F131" i="1"/>
  <c r="F130" i="1"/>
  <c r="F129" i="1"/>
  <c r="F126" i="1"/>
  <c r="F125" i="1"/>
  <c r="F124" i="1"/>
  <c r="F123" i="1"/>
  <c r="F122" i="1"/>
  <c r="F121" i="1"/>
  <c r="F120" i="1"/>
  <c r="F119" i="1"/>
  <c r="F116" i="1"/>
  <c r="F115" i="1"/>
  <c r="F114" i="1"/>
  <c r="F113" i="1"/>
  <c r="F112" i="1"/>
  <c r="F111" i="1"/>
  <c r="F110" i="1"/>
  <c r="F109" i="1"/>
  <c r="F106" i="1"/>
  <c r="F105" i="1"/>
  <c r="F104" i="1"/>
  <c r="F103" i="1"/>
  <c r="F102" i="1"/>
  <c r="F101" i="1"/>
  <c r="F100" i="1"/>
  <c r="F99" i="1"/>
  <c r="F85" i="1"/>
  <c r="F84" i="1"/>
  <c r="F83" i="1"/>
  <c r="F82" i="1"/>
  <c r="F81" i="1"/>
  <c r="F58" i="1"/>
  <c r="F57" i="1"/>
  <c r="F51" i="1"/>
  <c r="F50" i="1"/>
  <c r="F49" i="1"/>
  <c r="F48" i="1"/>
  <c r="F47" i="1"/>
  <c r="F44" i="1"/>
  <c r="F43" i="1"/>
  <c r="F42" i="1"/>
  <c r="F41" i="1"/>
  <c r="F40" i="1"/>
  <c r="F36" i="1"/>
  <c r="F35" i="1"/>
  <c r="F34" i="1"/>
  <c r="F33" i="1"/>
  <c r="F32" i="1"/>
  <c r="F29" i="1"/>
  <c r="F28" i="1"/>
  <c r="F27" i="1"/>
  <c r="F26" i="1"/>
  <c r="F25" i="1"/>
  <c r="F24" i="1"/>
  <c r="F23" i="1"/>
  <c r="F19" i="1"/>
  <c r="F18" i="1"/>
  <c r="F17" i="1"/>
  <c r="F16" i="1"/>
  <c r="F15" i="1"/>
  <c r="F12" i="1"/>
  <c r="F11" i="1"/>
  <c r="F10" i="1"/>
  <c r="F8" i="1"/>
  <c r="F7" i="1" l="1"/>
  <c r="E7" i="1"/>
  <c r="F74" i="1" l="1"/>
  <c r="F128" i="1"/>
  <c r="F137" i="1"/>
  <c r="F139" i="1" s="1"/>
  <c r="F46" i="1" l="1"/>
  <c r="F22" i="1"/>
  <c r="F80" i="1"/>
  <c r="F64" i="1"/>
  <c r="F59" i="1"/>
  <c r="F39" i="1"/>
  <c r="F31" i="1"/>
  <c r="F9" i="1"/>
  <c r="F108" i="1"/>
  <c r="F68" i="1"/>
  <c r="F14" i="1"/>
  <c r="F118" i="1"/>
  <c r="F98" i="1"/>
  <c r="E138" i="1"/>
  <c r="E136" i="1"/>
  <c r="E135" i="1"/>
  <c r="E133" i="1"/>
  <c r="E132" i="1"/>
  <c r="E131" i="1"/>
  <c r="E130" i="1"/>
  <c r="E129" i="1"/>
  <c r="E126" i="1"/>
  <c r="E125" i="1"/>
  <c r="E124" i="1"/>
  <c r="E123" i="1"/>
  <c r="E122" i="1"/>
  <c r="E121" i="1"/>
  <c r="E120" i="1"/>
  <c r="E119" i="1"/>
  <c r="E116" i="1"/>
  <c r="E115" i="1"/>
  <c r="E114" i="1"/>
  <c r="E113" i="1"/>
  <c r="E112" i="1"/>
  <c r="E111" i="1"/>
  <c r="E110" i="1"/>
  <c r="E109" i="1"/>
  <c r="E106" i="1"/>
  <c r="E105" i="1"/>
  <c r="E104" i="1"/>
  <c r="E103" i="1"/>
  <c r="E102" i="1"/>
  <c r="E101" i="1"/>
  <c r="E100" i="1"/>
  <c r="E99" i="1"/>
  <c r="E96" i="1"/>
  <c r="E95" i="1"/>
  <c r="E94" i="1"/>
  <c r="E88" i="1"/>
  <c r="E87" i="1"/>
  <c r="E85" i="1"/>
  <c r="E84" i="1"/>
  <c r="E83" i="1"/>
  <c r="E82" i="1"/>
  <c r="E81" i="1"/>
  <c r="E78" i="1"/>
  <c r="E77" i="1"/>
  <c r="E76" i="1"/>
  <c r="E75" i="1"/>
  <c r="E73" i="1"/>
  <c r="E72" i="1"/>
  <c r="E71" i="1"/>
  <c r="E70" i="1"/>
  <c r="E69" i="1"/>
  <c r="E67" i="1"/>
  <c r="E66" i="1"/>
  <c r="E65" i="1"/>
  <c r="E61" i="1"/>
  <c r="E62" i="1"/>
  <c r="E60" i="1"/>
  <c r="E58" i="1"/>
  <c r="E57" i="1"/>
  <c r="E51" i="1"/>
  <c r="E50" i="1"/>
  <c r="E49" i="1"/>
  <c r="E48" i="1"/>
  <c r="E47" i="1"/>
  <c r="E44" i="1"/>
  <c r="E43" i="1"/>
  <c r="E42" i="1"/>
  <c r="E41" i="1"/>
  <c r="E40" i="1"/>
  <c r="E36" i="1"/>
  <c r="E35" i="1"/>
  <c r="E34" i="1"/>
  <c r="E33" i="1"/>
  <c r="E32" i="1"/>
  <c r="E24" i="1"/>
  <c r="E25" i="1"/>
  <c r="E26" i="1"/>
  <c r="E27" i="1"/>
  <c r="E28" i="1"/>
  <c r="E29" i="1"/>
  <c r="E23" i="1"/>
  <c r="E16" i="1"/>
  <c r="E17" i="1"/>
  <c r="E18" i="1"/>
  <c r="E19" i="1"/>
  <c r="E15" i="1"/>
  <c r="E11" i="1"/>
  <c r="E12" i="1"/>
  <c r="E10" i="1"/>
  <c r="E8" i="1"/>
  <c r="F38" i="1" l="1"/>
  <c r="F63" i="1"/>
  <c r="F56" i="1" s="1"/>
  <c r="F55" i="1" s="1"/>
  <c r="F21" i="1"/>
  <c r="E137" i="1"/>
  <c r="E139" i="1" s="1"/>
  <c r="E128" i="1"/>
  <c r="E118" i="1"/>
  <c r="E108" i="1"/>
  <c r="E98" i="1"/>
  <c r="E59" i="1"/>
  <c r="E22" i="1"/>
  <c r="E80" i="1"/>
  <c r="E74" i="1"/>
  <c r="E68" i="1"/>
  <c r="E64" i="1"/>
  <c r="E46" i="1"/>
  <c r="E39" i="1"/>
  <c r="E31" i="1"/>
  <c r="E14" i="1"/>
  <c r="E9" i="1"/>
  <c r="F89" i="1" l="1"/>
  <c r="E63" i="1"/>
  <c r="E56" i="1" s="1"/>
  <c r="E55" i="1" s="1"/>
  <c r="E38" i="1"/>
  <c r="E21" i="1"/>
  <c r="C36" i="1"/>
  <c r="C34" i="1"/>
  <c r="C33" i="1"/>
  <c r="E89" i="1" l="1"/>
  <c r="D135" i="1" l="1"/>
  <c r="D138" i="1"/>
  <c r="D136" i="1"/>
  <c r="D133" i="1"/>
  <c r="D132" i="1"/>
  <c r="D131" i="1"/>
  <c r="D130" i="1"/>
  <c r="D129" i="1"/>
  <c r="D126" i="1"/>
  <c r="D125" i="1"/>
  <c r="D124" i="1"/>
  <c r="D123" i="1"/>
  <c r="D122" i="1"/>
  <c r="D121" i="1"/>
  <c r="D120" i="1"/>
  <c r="D119" i="1"/>
  <c r="D116" i="1"/>
  <c r="D115" i="1"/>
  <c r="D114" i="1"/>
  <c r="D113" i="1"/>
  <c r="D112" i="1"/>
  <c r="D111" i="1"/>
  <c r="D110" i="1"/>
  <c r="D109" i="1"/>
  <c r="D100" i="1"/>
  <c r="D101" i="1"/>
  <c r="D102" i="1"/>
  <c r="D103" i="1"/>
  <c r="D104" i="1"/>
  <c r="D105" i="1"/>
  <c r="D106" i="1"/>
  <c r="D99" i="1"/>
  <c r="D95" i="1"/>
  <c r="D96" i="1"/>
  <c r="D94" i="1"/>
  <c r="D88" i="1"/>
  <c r="D87" i="1"/>
  <c r="D85" i="1"/>
  <c r="D84" i="1"/>
  <c r="D83" i="1"/>
  <c r="D82" i="1"/>
  <c r="D81" i="1"/>
  <c r="D78" i="1"/>
  <c r="D77" i="1"/>
  <c r="D76" i="1"/>
  <c r="D75" i="1"/>
  <c r="D73" i="1"/>
  <c r="D72" i="1"/>
  <c r="D71" i="1"/>
  <c r="D70" i="1"/>
  <c r="D69" i="1"/>
  <c r="D67" i="1"/>
  <c r="D66" i="1"/>
  <c r="D65" i="1"/>
  <c r="D61" i="1"/>
  <c r="D62" i="1"/>
  <c r="D60" i="1"/>
  <c r="D58" i="1"/>
  <c r="D57" i="1"/>
  <c r="D51" i="1"/>
  <c r="D50" i="1"/>
  <c r="D49" i="1"/>
  <c r="D48" i="1"/>
  <c r="D47" i="1"/>
  <c r="D44" i="1"/>
  <c r="D43" i="1"/>
  <c r="D42" i="1"/>
  <c r="D41" i="1"/>
  <c r="D40" i="1"/>
  <c r="D36" i="1"/>
  <c r="D35" i="1"/>
  <c r="D34" i="1"/>
  <c r="D33" i="1"/>
  <c r="D32" i="1"/>
  <c r="D24" i="1"/>
  <c r="D25" i="1"/>
  <c r="D26" i="1"/>
  <c r="D27" i="1"/>
  <c r="D28" i="1"/>
  <c r="D29" i="1"/>
  <c r="D23" i="1"/>
  <c r="D19" i="1"/>
  <c r="D18" i="1"/>
  <c r="D17" i="1"/>
  <c r="D16" i="1"/>
  <c r="D15" i="1"/>
  <c r="D11" i="1"/>
  <c r="D12" i="1"/>
  <c r="D10" i="1"/>
  <c r="D8" i="1"/>
  <c r="D7" i="1"/>
  <c r="D9" i="1" l="1"/>
  <c r="D14" i="1"/>
  <c r="D22" i="1"/>
  <c r="D31" i="1"/>
  <c r="D39" i="1"/>
  <c r="D46" i="1"/>
  <c r="D59" i="1"/>
  <c r="D64" i="1"/>
  <c r="D68" i="1"/>
  <c r="D74" i="1"/>
  <c r="D80" i="1"/>
  <c r="D98" i="1"/>
  <c r="D108" i="1"/>
  <c r="D118" i="1"/>
  <c r="D128" i="1"/>
  <c r="D137" i="1"/>
  <c r="D139" i="1" s="1"/>
  <c r="C138" i="1"/>
  <c r="C136" i="1"/>
  <c r="C135" i="1"/>
  <c r="C133" i="1"/>
  <c r="C132" i="1"/>
  <c r="C131" i="1"/>
  <c r="C130" i="1"/>
  <c r="C129" i="1"/>
  <c r="C126" i="1"/>
  <c r="C125" i="1"/>
  <c r="C124" i="1"/>
  <c r="C123" i="1"/>
  <c r="C122" i="1"/>
  <c r="C121" i="1"/>
  <c r="C120" i="1"/>
  <c r="C119" i="1"/>
  <c r="C116" i="1"/>
  <c r="C115" i="1"/>
  <c r="C114" i="1"/>
  <c r="C113" i="1"/>
  <c r="C112" i="1"/>
  <c r="C111" i="1"/>
  <c r="C110" i="1"/>
  <c r="C109" i="1"/>
  <c r="C106" i="1"/>
  <c r="C105" i="1"/>
  <c r="C104" i="1"/>
  <c r="C103" i="1"/>
  <c r="C102" i="1"/>
  <c r="C101" i="1"/>
  <c r="C100" i="1"/>
  <c r="C99" i="1"/>
  <c r="C96" i="1"/>
  <c r="C95" i="1"/>
  <c r="C94" i="1"/>
  <c r="C88" i="1"/>
  <c r="C87" i="1"/>
  <c r="C85" i="1"/>
  <c r="C84" i="1"/>
  <c r="C83" i="1"/>
  <c r="C82" i="1"/>
  <c r="C81" i="1"/>
  <c r="C78" i="1"/>
  <c r="C77" i="1"/>
  <c r="C76" i="1"/>
  <c r="C75" i="1"/>
  <c r="C73" i="1"/>
  <c r="C72" i="1"/>
  <c r="C71" i="1"/>
  <c r="C70" i="1"/>
  <c r="C69" i="1"/>
  <c r="C67" i="1"/>
  <c r="C66" i="1"/>
  <c r="C65" i="1"/>
  <c r="C62" i="1"/>
  <c r="C61" i="1"/>
  <c r="C60" i="1"/>
  <c r="C58" i="1"/>
  <c r="C57" i="1"/>
  <c r="C50" i="1"/>
  <c r="C47" i="1"/>
  <c r="C44" i="1"/>
  <c r="C43" i="1"/>
  <c r="C42" i="1"/>
  <c r="C41" i="1"/>
  <c r="C40" i="1"/>
  <c r="C35" i="1"/>
  <c r="C32" i="1"/>
  <c r="C29" i="1"/>
  <c r="C28" i="1"/>
  <c r="C27" i="1"/>
  <c r="C26" i="1"/>
  <c r="C25" i="1"/>
  <c r="C24" i="1"/>
  <c r="C23" i="1"/>
  <c r="C19" i="1"/>
  <c r="C18" i="1"/>
  <c r="C17" i="1"/>
  <c r="C16" i="1"/>
  <c r="C15" i="1"/>
  <c r="C12" i="1"/>
  <c r="C11" i="1"/>
  <c r="C10" i="1"/>
  <c r="C8" i="1"/>
  <c r="C137" i="1" l="1"/>
  <c r="D63" i="1"/>
  <c r="D56" i="1" s="1"/>
  <c r="D55" i="1" s="1"/>
  <c r="D21" i="1"/>
  <c r="D38" i="1"/>
  <c r="C7" i="1"/>
  <c r="D89" i="1" l="1"/>
  <c r="C64" i="1" l="1"/>
  <c r="C80" i="1" l="1"/>
  <c r="C31" i="1"/>
  <c r="C14" i="1"/>
  <c r="C74" i="1"/>
  <c r="C68" i="1"/>
  <c r="C63" i="1" s="1"/>
  <c r="C139" i="1"/>
  <c r="C118" i="1"/>
  <c r="C108" i="1"/>
  <c r="C98" i="1"/>
  <c r="C46" i="1"/>
  <c r="C39" i="1"/>
  <c r="C128" i="1"/>
  <c r="C59" i="1"/>
  <c r="C22" i="1"/>
  <c r="C9" i="1"/>
  <c r="C21" i="1" l="1"/>
  <c r="C38" i="1"/>
  <c r="C56" i="1"/>
  <c r="C55" i="1" s="1"/>
  <c r="C89" i="1" l="1"/>
  <c r="U139" i="3" l="1"/>
  <c r="U137" i="3"/>
  <c r="U134" i="3"/>
  <c r="U133" i="3"/>
  <c r="U132" i="3"/>
  <c r="U131" i="3"/>
  <c r="U129" i="3"/>
  <c r="U127" i="3"/>
  <c r="U126" i="3"/>
  <c r="U119" i="3"/>
  <c r="U116" i="3"/>
  <c r="U109" i="3"/>
  <c r="U107" i="3"/>
  <c r="U106" i="3"/>
  <c r="U99" i="3"/>
  <c r="U97" i="3"/>
  <c r="U96" i="3"/>
  <c r="U95" i="3"/>
  <c r="U88" i="3"/>
  <c r="U87" i="3"/>
  <c r="U85" i="3"/>
  <c r="U84" i="3"/>
  <c r="U83" i="3"/>
  <c r="U81" i="3"/>
  <c r="U80" i="3"/>
  <c r="U75" i="3"/>
  <c r="U74" i="3"/>
  <c r="U72" i="3"/>
  <c r="U68" i="3" s="1"/>
  <c r="U64" i="3"/>
  <c r="U63" i="3"/>
  <c r="U62" i="3"/>
  <c r="U59" i="3"/>
  <c r="U56" i="3"/>
  <c r="U55" i="3"/>
  <c r="U48" i="3"/>
  <c r="U45" i="3"/>
  <c r="U41" i="3"/>
  <c r="U40" i="3"/>
  <c r="U38" i="3"/>
  <c r="U34" i="3"/>
  <c r="U33" i="3"/>
  <c r="U21" i="3"/>
  <c r="U16" i="3"/>
  <c r="U15" i="3"/>
  <c r="U14" i="3"/>
  <c r="U11" i="3"/>
  <c r="U10" i="3"/>
  <c r="U9" i="3"/>
  <c r="U8" i="3"/>
  <c r="U7" i="3"/>
  <c r="T139" i="3"/>
  <c r="T137" i="3"/>
  <c r="T134" i="3"/>
  <c r="T133" i="3"/>
  <c r="T132" i="3"/>
  <c r="T130" i="3"/>
  <c r="T129" i="3"/>
  <c r="T127" i="3"/>
  <c r="T126" i="3"/>
  <c r="T125" i="3"/>
  <c r="T124" i="3"/>
  <c r="T122" i="3"/>
  <c r="T119" i="3"/>
  <c r="T117" i="3"/>
  <c r="T116" i="3"/>
  <c r="T109" i="3"/>
  <c r="T107" i="3"/>
  <c r="T106" i="3"/>
  <c r="T105" i="3"/>
  <c r="T104" i="3"/>
  <c r="T102" i="3"/>
  <c r="T100" i="3"/>
  <c r="T99" i="3"/>
  <c r="T96" i="3"/>
  <c r="T97" i="3" s="1"/>
  <c r="T95" i="3"/>
  <c r="T88" i="3"/>
  <c r="T87" i="3"/>
  <c r="T85" i="3"/>
  <c r="T84" i="3"/>
  <c r="T83" i="3"/>
  <c r="T81" i="3"/>
  <c r="T80" i="3"/>
  <c r="T78" i="3"/>
  <c r="T75" i="3"/>
  <c r="T74" i="3"/>
  <c r="T73" i="3"/>
  <c r="T72" i="3"/>
  <c r="T70" i="3"/>
  <c r="T64" i="3"/>
  <c r="T63" i="3"/>
  <c r="T62" i="3"/>
  <c r="T59" i="3"/>
  <c r="T58" i="3"/>
  <c r="T57" i="3"/>
  <c r="T56" i="3"/>
  <c r="T55" i="3"/>
  <c r="T51" i="3"/>
  <c r="T48" i="3"/>
  <c r="T45" i="3"/>
  <c r="T41" i="3"/>
  <c r="T40" i="3"/>
  <c r="T38" i="3"/>
  <c r="T37" i="3"/>
  <c r="T35" i="3"/>
  <c r="T33" i="3"/>
  <c r="T23" i="3"/>
  <c r="T22" i="3"/>
  <c r="T21" i="3"/>
  <c r="T16" i="3"/>
  <c r="T15" i="3"/>
  <c r="T14" i="3"/>
  <c r="T10" i="3"/>
  <c r="T9" i="3"/>
  <c r="T8" i="3"/>
  <c r="T7" i="3"/>
  <c r="S139" i="3"/>
  <c r="S137" i="3"/>
  <c r="S136" i="3"/>
  <c r="S134" i="3"/>
  <c r="S133" i="3"/>
  <c r="S132" i="3"/>
  <c r="S131" i="3"/>
  <c r="S130" i="3"/>
  <c r="S129" i="3"/>
  <c r="S127" i="3"/>
  <c r="S126" i="3"/>
  <c r="S125" i="3"/>
  <c r="S124" i="3"/>
  <c r="S122" i="3"/>
  <c r="S121" i="3"/>
  <c r="S119" i="3"/>
  <c r="S117" i="3"/>
  <c r="S116" i="3"/>
  <c r="S115" i="3"/>
  <c r="S114" i="3"/>
  <c r="S113" i="3"/>
  <c r="S112" i="3"/>
  <c r="S111" i="3"/>
  <c r="S110" i="3"/>
  <c r="S109" i="3"/>
  <c r="S107" i="3"/>
  <c r="S106" i="3"/>
  <c r="S105" i="3"/>
  <c r="S104" i="3"/>
  <c r="S102" i="3"/>
  <c r="S101" i="3"/>
  <c r="S100" i="3"/>
  <c r="S99" i="3"/>
  <c r="S96" i="3"/>
  <c r="S95" i="3"/>
  <c r="S97" i="3" s="1"/>
  <c r="S88" i="3"/>
  <c r="S87" i="3"/>
  <c r="S83" i="3"/>
  <c r="S82" i="3"/>
  <c r="S81" i="3"/>
  <c r="S80" i="3"/>
  <c r="S78" i="3"/>
  <c r="S76" i="3"/>
  <c r="S75" i="3"/>
  <c r="S74" i="3"/>
  <c r="S73" i="3"/>
  <c r="S72" i="3"/>
  <c r="S71" i="3"/>
  <c r="S68" i="3" s="1"/>
  <c r="S70" i="3"/>
  <c r="S64" i="3"/>
  <c r="S63" i="3"/>
  <c r="S62" i="3"/>
  <c r="S61" i="3"/>
  <c r="S60" i="3"/>
  <c r="S59" i="3"/>
  <c r="S58" i="3"/>
  <c r="S57" i="3"/>
  <c r="S56" i="3"/>
  <c r="S55" i="3"/>
  <c r="S49" i="3"/>
  <c r="S48" i="3"/>
  <c r="S45" i="3"/>
  <c r="S41" i="3"/>
  <c r="S40" i="3"/>
  <c r="S38" i="3"/>
  <c r="S37" i="3"/>
  <c r="S36" i="3"/>
  <c r="S35" i="3"/>
  <c r="S33" i="3"/>
  <c r="S28" i="3"/>
  <c r="S24" i="3"/>
  <c r="S23" i="3"/>
  <c r="S22" i="3"/>
  <c r="S21" i="3"/>
  <c r="S16" i="3"/>
  <c r="S15" i="3"/>
  <c r="S14" i="3"/>
  <c r="S10" i="3"/>
  <c r="S9" i="3"/>
  <c r="S8" i="3"/>
  <c r="S7" i="3"/>
  <c r="C7" i="3"/>
  <c r="D7" i="3"/>
  <c r="E7" i="3"/>
  <c r="F7" i="3"/>
  <c r="G7" i="3"/>
  <c r="H7" i="3"/>
  <c r="I7" i="3"/>
  <c r="J7" i="3"/>
  <c r="K7" i="3"/>
  <c r="L7" i="3"/>
  <c r="M7" i="3"/>
  <c r="N7" i="3"/>
  <c r="O7" i="3"/>
  <c r="Q7" i="3"/>
  <c r="R7" i="3"/>
  <c r="C8" i="3"/>
  <c r="D8" i="3"/>
  <c r="E8" i="3"/>
  <c r="F8" i="3"/>
  <c r="G8" i="3"/>
  <c r="H8" i="3"/>
  <c r="I8" i="3"/>
  <c r="J8" i="3"/>
  <c r="K8" i="3"/>
  <c r="L8" i="3"/>
  <c r="M8" i="3"/>
  <c r="N8" i="3"/>
  <c r="O8" i="3"/>
  <c r="Q8" i="3"/>
  <c r="R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Q10" i="3"/>
  <c r="R10" i="3"/>
  <c r="G11" i="3"/>
  <c r="H11" i="3"/>
  <c r="Q11" i="3"/>
  <c r="R11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Q14" i="3"/>
  <c r="R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P14" i="3" s="1"/>
  <c r="P8" i="3" s="1"/>
  <c r="Q15" i="3"/>
  <c r="R15" i="3"/>
  <c r="E16" i="3"/>
  <c r="F16" i="3"/>
  <c r="I16" i="3"/>
  <c r="J16" i="3"/>
  <c r="K16" i="3"/>
  <c r="L16" i="3"/>
  <c r="M16" i="3"/>
  <c r="N16" i="3"/>
  <c r="O16" i="3"/>
  <c r="Q16" i="3"/>
  <c r="R16" i="3"/>
  <c r="J17" i="3"/>
  <c r="K17" i="3"/>
  <c r="L17" i="3"/>
  <c r="M17" i="3"/>
  <c r="N17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Q21" i="3"/>
  <c r="R21" i="3"/>
  <c r="G22" i="3"/>
  <c r="H22" i="3"/>
  <c r="I22" i="3"/>
  <c r="J22" i="3"/>
  <c r="K22" i="3"/>
  <c r="L22" i="3"/>
  <c r="M22" i="3"/>
  <c r="N22" i="3"/>
  <c r="H23" i="3"/>
  <c r="I23" i="3"/>
  <c r="J23" i="3"/>
  <c r="K23" i="3"/>
  <c r="L23" i="3"/>
  <c r="M23" i="3"/>
  <c r="H24" i="3"/>
  <c r="I24" i="3"/>
  <c r="K24" i="3"/>
  <c r="H25" i="3"/>
  <c r="H28" i="3"/>
  <c r="I28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P21" i="3" s="1"/>
  <c r="Q33" i="3"/>
  <c r="R33" i="3"/>
  <c r="H34" i="3"/>
  <c r="Q34" i="3"/>
  <c r="R34" i="3"/>
  <c r="H35" i="3"/>
  <c r="I35" i="3"/>
  <c r="J35" i="3"/>
  <c r="K35" i="3"/>
  <c r="L35" i="3"/>
  <c r="M35" i="3"/>
  <c r="N35" i="3"/>
  <c r="R35" i="3"/>
  <c r="G36" i="3"/>
  <c r="H36" i="3"/>
  <c r="I36" i="3"/>
  <c r="J36" i="3"/>
  <c r="K36" i="3"/>
  <c r="L36" i="3"/>
  <c r="R36" i="3"/>
  <c r="J37" i="3"/>
  <c r="K37" i="3"/>
  <c r="L37" i="3"/>
  <c r="M37" i="3"/>
  <c r="R37" i="3"/>
  <c r="J38" i="3"/>
  <c r="K38" i="3"/>
  <c r="L38" i="3"/>
  <c r="M38" i="3"/>
  <c r="N38" i="3"/>
  <c r="O38" i="3"/>
  <c r="P38" i="3"/>
  <c r="Q38" i="3"/>
  <c r="R38" i="3"/>
  <c r="F40" i="3"/>
  <c r="G40" i="3"/>
  <c r="H40" i="3"/>
  <c r="I40" i="3"/>
  <c r="J40" i="3"/>
  <c r="K40" i="3"/>
  <c r="L40" i="3"/>
  <c r="M40" i="3"/>
  <c r="N40" i="3"/>
  <c r="O40" i="3"/>
  <c r="Q40" i="3"/>
  <c r="R40" i="3"/>
  <c r="F41" i="3"/>
  <c r="G41" i="3"/>
  <c r="H41" i="3"/>
  <c r="I41" i="3"/>
  <c r="J41" i="3"/>
  <c r="K41" i="3"/>
  <c r="L41" i="3"/>
  <c r="M41" i="3"/>
  <c r="N41" i="3"/>
  <c r="O41" i="3"/>
  <c r="Q41" i="3"/>
  <c r="R41" i="3"/>
  <c r="R42" i="3"/>
  <c r="R43" i="3"/>
  <c r="K44" i="3"/>
  <c r="L44" i="3"/>
  <c r="R44" i="3"/>
  <c r="G45" i="3"/>
  <c r="H45" i="3"/>
  <c r="I45" i="3"/>
  <c r="J45" i="3"/>
  <c r="K45" i="3"/>
  <c r="M45" i="3"/>
  <c r="N45" i="3"/>
  <c r="O45" i="3"/>
  <c r="Q45" i="3"/>
  <c r="R45" i="3"/>
  <c r="F48" i="3"/>
  <c r="G48" i="3"/>
  <c r="H48" i="3"/>
  <c r="I48" i="3"/>
  <c r="J48" i="3"/>
  <c r="K48" i="3"/>
  <c r="M48" i="3"/>
  <c r="N48" i="3"/>
  <c r="Q48" i="3"/>
  <c r="F49" i="3"/>
  <c r="I49" i="3"/>
  <c r="J49" i="3"/>
  <c r="K49" i="3"/>
  <c r="F51" i="3"/>
  <c r="M51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Q55" i="3"/>
  <c r="R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Q56" i="3"/>
  <c r="R56" i="3"/>
  <c r="I57" i="3"/>
  <c r="J57" i="3"/>
  <c r="K57" i="3"/>
  <c r="L57" i="3"/>
  <c r="M57" i="3"/>
  <c r="Q57" i="3"/>
  <c r="I58" i="3"/>
  <c r="K58" i="3"/>
  <c r="L58" i="3"/>
  <c r="M58" i="3"/>
  <c r="C59" i="3"/>
  <c r="D59" i="3"/>
  <c r="E59" i="3"/>
  <c r="F59" i="3"/>
  <c r="G59" i="3"/>
  <c r="H59" i="3"/>
  <c r="I59" i="3"/>
  <c r="J59" i="3"/>
  <c r="K59" i="3"/>
  <c r="L59" i="3"/>
  <c r="M59" i="3"/>
  <c r="N59" i="3"/>
  <c r="Q59" i="3"/>
  <c r="C60" i="3"/>
  <c r="I60" i="3"/>
  <c r="C61" i="3"/>
  <c r="D61" i="3"/>
  <c r="E61" i="3"/>
  <c r="F61" i="3"/>
  <c r="G61" i="3"/>
  <c r="I61" i="3"/>
  <c r="C62" i="3"/>
  <c r="D62" i="3"/>
  <c r="H62" i="3"/>
  <c r="I62" i="3"/>
  <c r="J62" i="3"/>
  <c r="K62" i="3"/>
  <c r="L62" i="3"/>
  <c r="M62" i="3"/>
  <c r="Q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Q63" i="3"/>
  <c r="R63" i="3"/>
  <c r="G69" i="3"/>
  <c r="N69" i="3"/>
  <c r="C70" i="3"/>
  <c r="D70" i="3"/>
  <c r="E70" i="3"/>
  <c r="G70" i="3"/>
  <c r="H70" i="3"/>
  <c r="I70" i="3"/>
  <c r="J70" i="3"/>
  <c r="K70" i="3"/>
  <c r="L70" i="3"/>
  <c r="M70" i="3"/>
  <c r="G71" i="3"/>
  <c r="I71" i="3"/>
  <c r="L71" i="3"/>
  <c r="N71" i="3"/>
  <c r="F72" i="3"/>
  <c r="G72" i="3"/>
  <c r="H72" i="3"/>
  <c r="I72" i="3"/>
  <c r="J72" i="3"/>
  <c r="K72" i="3"/>
  <c r="L72" i="3"/>
  <c r="M72" i="3"/>
  <c r="N72" i="3"/>
  <c r="O72" i="3"/>
  <c r="Q72" i="3"/>
  <c r="R72" i="3"/>
  <c r="H73" i="3"/>
  <c r="I73" i="3"/>
  <c r="J73" i="3"/>
  <c r="K73" i="3"/>
  <c r="L73" i="3"/>
  <c r="M73" i="3"/>
  <c r="N73" i="3"/>
  <c r="C74" i="3"/>
  <c r="D74" i="3"/>
  <c r="E74" i="3"/>
  <c r="H74" i="3"/>
  <c r="I74" i="3"/>
  <c r="J74" i="3"/>
  <c r="K74" i="3"/>
  <c r="L74" i="3"/>
  <c r="M74" i="3"/>
  <c r="N74" i="3"/>
  <c r="Q74" i="3"/>
  <c r="C75" i="3"/>
  <c r="D75" i="3"/>
  <c r="H75" i="3"/>
  <c r="I75" i="3"/>
  <c r="J75" i="3"/>
  <c r="K75" i="3"/>
  <c r="L75" i="3"/>
  <c r="M75" i="3"/>
  <c r="Q75" i="3"/>
  <c r="C76" i="3"/>
  <c r="D76" i="3"/>
  <c r="I76" i="3"/>
  <c r="K76" i="3"/>
  <c r="C77" i="3"/>
  <c r="D77" i="3"/>
  <c r="K77" i="3"/>
  <c r="C78" i="3"/>
  <c r="D78" i="3"/>
  <c r="E78" i="3"/>
  <c r="G78" i="3"/>
  <c r="H78" i="3"/>
  <c r="I78" i="3"/>
  <c r="J78" i="3"/>
  <c r="K78" i="3"/>
  <c r="M78" i="3"/>
  <c r="R78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Q80" i="3"/>
  <c r="R80" i="3"/>
  <c r="H81" i="3"/>
  <c r="I81" i="3"/>
  <c r="J81" i="3"/>
  <c r="K81" i="3"/>
  <c r="L81" i="3"/>
  <c r="M81" i="3"/>
  <c r="N81" i="3"/>
  <c r="Q81" i="3"/>
  <c r="R81" i="3"/>
  <c r="I82" i="3"/>
  <c r="R82" i="3"/>
  <c r="H83" i="3"/>
  <c r="I83" i="3"/>
  <c r="J83" i="3"/>
  <c r="K83" i="3"/>
  <c r="L83" i="3"/>
  <c r="M83" i="3"/>
  <c r="N83" i="3"/>
  <c r="O83" i="3"/>
  <c r="Q83" i="3"/>
  <c r="R83" i="3"/>
  <c r="G84" i="3"/>
  <c r="H84" i="3"/>
  <c r="J84" i="3"/>
  <c r="K84" i="3"/>
  <c r="L84" i="3"/>
  <c r="M84" i="3"/>
  <c r="N84" i="3"/>
  <c r="O84" i="3"/>
  <c r="Q84" i="3"/>
  <c r="G85" i="3"/>
  <c r="H85" i="3"/>
  <c r="J85" i="3"/>
  <c r="K85" i="3"/>
  <c r="L85" i="3"/>
  <c r="M85" i="3"/>
  <c r="N85" i="3"/>
  <c r="O85" i="3"/>
  <c r="Q85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Q87" i="3"/>
  <c r="R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Q88" i="3"/>
  <c r="R88" i="3"/>
  <c r="M89" i="3"/>
  <c r="C95" i="3"/>
  <c r="D95" i="3"/>
  <c r="E95" i="3"/>
  <c r="F95" i="3"/>
  <c r="G95" i="3"/>
  <c r="H95" i="3"/>
  <c r="I95" i="3"/>
  <c r="I97" i="3"/>
  <c r="J95" i="3"/>
  <c r="K95" i="3"/>
  <c r="K97" i="3" s="1"/>
  <c r="L95" i="3"/>
  <c r="M95" i="3"/>
  <c r="N95" i="3"/>
  <c r="O95" i="3"/>
  <c r="Q95" i="3"/>
  <c r="R95" i="3"/>
  <c r="C96" i="3"/>
  <c r="D96" i="3"/>
  <c r="E96" i="3"/>
  <c r="F96" i="3"/>
  <c r="G96" i="3"/>
  <c r="H96" i="3"/>
  <c r="I96" i="3"/>
  <c r="J96" i="3"/>
  <c r="J97" i="3" s="1"/>
  <c r="K96" i="3"/>
  <c r="L96" i="3"/>
  <c r="M96" i="3"/>
  <c r="M97" i="3"/>
  <c r="N96" i="3"/>
  <c r="N97" i="3" s="1"/>
  <c r="O96" i="3"/>
  <c r="Q96" i="3"/>
  <c r="R96" i="3"/>
  <c r="C97" i="3"/>
  <c r="H97" i="3"/>
  <c r="O97" i="3"/>
  <c r="Q97" i="3"/>
  <c r="R97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Q99" i="3"/>
  <c r="R99" i="3"/>
  <c r="I100" i="3"/>
  <c r="J100" i="3"/>
  <c r="K100" i="3"/>
  <c r="L100" i="3"/>
  <c r="M100" i="3"/>
  <c r="I101" i="3"/>
  <c r="I102" i="3"/>
  <c r="J102" i="3"/>
  <c r="K102" i="3"/>
  <c r="L102" i="3"/>
  <c r="M102" i="3"/>
  <c r="D104" i="3"/>
  <c r="G104" i="3"/>
  <c r="H104" i="3"/>
  <c r="I104" i="3"/>
  <c r="J104" i="3"/>
  <c r="K104" i="3"/>
  <c r="L104" i="3"/>
  <c r="M104" i="3"/>
  <c r="R104" i="3"/>
  <c r="E105" i="3"/>
  <c r="F105" i="3"/>
  <c r="I105" i="3"/>
  <c r="J105" i="3"/>
  <c r="K105" i="3"/>
  <c r="L105" i="3"/>
  <c r="M105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Q107" i="3"/>
  <c r="R107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Q109" i="3"/>
  <c r="R109" i="3"/>
  <c r="I110" i="3"/>
  <c r="I111" i="3"/>
  <c r="C112" i="3"/>
  <c r="D112" i="3"/>
  <c r="I112" i="3"/>
  <c r="I113" i="3"/>
  <c r="D114" i="3"/>
  <c r="G114" i="3"/>
  <c r="I114" i="3"/>
  <c r="I115" i="3"/>
  <c r="J115" i="3"/>
  <c r="K115" i="3"/>
  <c r="L115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Q116" i="3"/>
  <c r="R116" i="3"/>
  <c r="C117" i="3"/>
  <c r="D117" i="3"/>
  <c r="F117" i="3"/>
  <c r="G117" i="3"/>
  <c r="H117" i="3"/>
  <c r="I117" i="3"/>
  <c r="J117" i="3"/>
  <c r="K117" i="3"/>
  <c r="L117" i="3"/>
  <c r="M117" i="3"/>
  <c r="N117" i="3"/>
  <c r="O117" i="3"/>
  <c r="R117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R119" i="3"/>
  <c r="I121" i="3"/>
  <c r="C122" i="3"/>
  <c r="D122" i="3"/>
  <c r="E122" i="3"/>
  <c r="F122" i="3"/>
  <c r="G122" i="3"/>
  <c r="H122" i="3"/>
  <c r="I122" i="3"/>
  <c r="J122" i="3"/>
  <c r="K122" i="3"/>
  <c r="L122" i="3"/>
  <c r="M122" i="3"/>
  <c r="D124" i="3"/>
  <c r="G124" i="3"/>
  <c r="I124" i="3"/>
  <c r="K124" i="3"/>
  <c r="M124" i="3"/>
  <c r="R124" i="3"/>
  <c r="I125" i="3"/>
  <c r="M125" i="3"/>
  <c r="N125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Q126" i="3"/>
  <c r="R126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Q127" i="3"/>
  <c r="R127" i="3"/>
  <c r="C129" i="3"/>
  <c r="D129" i="3"/>
  <c r="E129" i="3"/>
  <c r="F129" i="3"/>
  <c r="G129" i="3"/>
  <c r="G138" i="3" s="1"/>
  <c r="G140" i="3" s="1"/>
  <c r="H129" i="3"/>
  <c r="I129" i="3"/>
  <c r="J129" i="3"/>
  <c r="K129" i="3"/>
  <c r="L129" i="3"/>
  <c r="M129" i="3"/>
  <c r="N129" i="3"/>
  <c r="O129" i="3"/>
  <c r="Q129" i="3"/>
  <c r="R129" i="3"/>
  <c r="C130" i="3"/>
  <c r="D130" i="3"/>
  <c r="F130" i="3"/>
  <c r="G130" i="3"/>
  <c r="H130" i="3"/>
  <c r="I130" i="3"/>
  <c r="J130" i="3"/>
  <c r="K130" i="3"/>
  <c r="L130" i="3"/>
  <c r="M130" i="3"/>
  <c r="I131" i="3"/>
  <c r="J131" i="3"/>
  <c r="K131" i="3"/>
  <c r="L131" i="3"/>
  <c r="O131" i="3"/>
  <c r="Q131" i="3"/>
  <c r="R131" i="3"/>
  <c r="H132" i="3"/>
  <c r="I132" i="3"/>
  <c r="J132" i="3"/>
  <c r="K132" i="3"/>
  <c r="L132" i="3"/>
  <c r="M132" i="3"/>
  <c r="N132" i="3"/>
  <c r="O132" i="3"/>
  <c r="Q132" i="3"/>
  <c r="R132" i="3"/>
  <c r="H133" i="3"/>
  <c r="J133" i="3"/>
  <c r="K133" i="3"/>
  <c r="L133" i="3"/>
  <c r="M133" i="3"/>
  <c r="N133" i="3"/>
  <c r="O133" i="3"/>
  <c r="Q133" i="3"/>
  <c r="R133" i="3"/>
  <c r="H134" i="3"/>
  <c r="J134" i="3"/>
  <c r="K134" i="3"/>
  <c r="L134" i="3"/>
  <c r="M134" i="3"/>
  <c r="N134" i="3"/>
  <c r="O134" i="3"/>
  <c r="Q134" i="3"/>
  <c r="R134" i="3"/>
  <c r="I136" i="3"/>
  <c r="J136" i="3"/>
  <c r="L136" i="3"/>
  <c r="O136" i="3"/>
  <c r="R136" i="3"/>
  <c r="C137" i="3"/>
  <c r="D137" i="3"/>
  <c r="E137" i="3"/>
  <c r="F137" i="3"/>
  <c r="G137" i="3"/>
  <c r="H137" i="3"/>
  <c r="H138" i="3" s="1"/>
  <c r="H140" i="3" s="1"/>
  <c r="I137" i="3"/>
  <c r="J137" i="3"/>
  <c r="K137" i="3"/>
  <c r="K138" i="3" s="1"/>
  <c r="L137" i="3"/>
  <c r="M137" i="3"/>
  <c r="N137" i="3"/>
  <c r="N138" i="3" s="1"/>
  <c r="O137" i="3"/>
  <c r="Q137" i="3"/>
  <c r="R137" i="3"/>
  <c r="O138" i="3"/>
  <c r="Q138" i="3"/>
  <c r="R138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Q139" i="3"/>
  <c r="R139" i="3"/>
  <c r="P140" i="3"/>
  <c r="R89" i="3" l="1"/>
  <c r="R140" i="3"/>
  <c r="Q140" i="3"/>
  <c r="P89" i="3"/>
  <c r="L89" i="3"/>
  <c r="T138" i="3"/>
  <c r="T140" i="3" s="1"/>
  <c r="U89" i="3"/>
  <c r="U138" i="3"/>
  <c r="U140" i="3" s="1"/>
  <c r="I138" i="3"/>
  <c r="I140" i="3" s="1"/>
  <c r="N140" i="3"/>
  <c r="J138" i="3"/>
  <c r="F97" i="3"/>
  <c r="F138" i="3" s="1"/>
  <c r="G89" i="3"/>
  <c r="F89" i="3"/>
  <c r="E89" i="3"/>
  <c r="E97" i="3"/>
  <c r="E138" i="3" s="1"/>
  <c r="E140" i="3" s="1"/>
  <c r="J89" i="3"/>
  <c r="O140" i="3"/>
  <c r="J140" i="3"/>
  <c r="F140" i="3"/>
  <c r="L138" i="3"/>
  <c r="L140" i="3" s="1"/>
  <c r="M138" i="3"/>
  <c r="C138" i="3"/>
  <c r="C140" i="3" s="1"/>
  <c r="G97" i="3"/>
  <c r="T89" i="3"/>
  <c r="S89" i="3"/>
  <c r="O89" i="3"/>
  <c r="T68" i="3"/>
  <c r="M140" i="3"/>
  <c r="K89" i="3"/>
  <c r="C89" i="3"/>
  <c r="S138" i="3"/>
  <c r="S140" i="3" s="1"/>
  <c r="I89" i="3"/>
  <c r="Q89" i="3"/>
  <c r="N89" i="3"/>
  <c r="D89" i="3"/>
  <c r="D97" i="3"/>
  <c r="D138" i="3" s="1"/>
  <c r="D140" i="3" s="1"/>
  <c r="H89" i="3"/>
  <c r="K140" i="3"/>
  <c r="L97" i="3"/>
  <c r="K80" i="1" l="1"/>
  <c r="K74" i="1" s="1"/>
  <c r="K68" i="1" s="1"/>
  <c r="K64" i="1" s="1"/>
  <c r="K63" i="1" s="1"/>
  <c r="K59" i="1" s="1"/>
  <c r="K56" i="1" s="1"/>
  <c r="K55" i="1" s="1"/>
  <c r="K89" i="1" s="1"/>
  <c r="U95" i="1"/>
  <c r="U96" i="1" l="1"/>
  <c r="U94" i="1"/>
  <c r="U137" i="1" l="1"/>
  <c r="U8" i="1"/>
  <c r="U89" i="1" l="1"/>
  <c r="U139" i="1"/>
  <c r="Z9" i="1"/>
  <c r="Z8" i="1" l="1"/>
  <c r="Z89" i="1" l="1"/>
  <c r="AA9" i="1" l="1"/>
  <c r="AA14" i="1"/>
  <c r="AA22" i="1"/>
  <c r="AA31" i="1"/>
  <c r="AA39" i="1"/>
  <c r="AA46" i="1"/>
  <c r="AA59" i="1"/>
  <c r="AA64" i="1"/>
  <c r="AA68" i="1"/>
  <c r="AA74" i="1"/>
  <c r="AA80" i="1"/>
  <c r="AA98" i="1"/>
  <c r="AA108" i="1"/>
  <c r="AA118" i="1"/>
  <c r="AA95" i="1" l="1"/>
  <c r="AA128" i="1"/>
  <c r="AA38" i="1"/>
  <c r="AA21" i="1"/>
  <c r="AA8" i="1"/>
  <c r="AA96" i="1" l="1"/>
  <c r="AA94" i="1"/>
  <c r="AA139" i="1"/>
  <c r="AA137" i="1"/>
  <c r="AA63" i="1"/>
  <c r="AA56" i="1" l="1"/>
  <c r="AA55" i="1" l="1"/>
  <c r="AA89" i="1"/>
</calcChain>
</file>

<file path=xl/sharedStrings.xml><?xml version="1.0" encoding="utf-8"?>
<sst xmlns="http://schemas.openxmlformats.org/spreadsheetml/2006/main" count="445" uniqueCount="124">
  <si>
    <t>TOTAL ASSETS</t>
  </si>
  <si>
    <t xml:space="preserve">TOTAL RESIDENT DEPOSITS  </t>
  </si>
  <si>
    <t>TOTAL NON-RESIDENT DEPOSITS</t>
  </si>
  <si>
    <t>Central Government</t>
  </si>
  <si>
    <t>Other Sectors (Households &amp; NPI's)</t>
  </si>
  <si>
    <t>SHAREHOLDERS EQUITY</t>
  </si>
  <si>
    <t>OTHER LIABILITIES</t>
  </si>
  <si>
    <t>TOTAL LIABILITIES</t>
  </si>
  <si>
    <t>TRANSFERABLE DEPOSITS (Demand) - RESIDENT</t>
  </si>
  <si>
    <t>SAVINGS DEPOSITS  - RESIDENT</t>
  </si>
  <si>
    <t>FIXED DEPOSITS - RESIDENT</t>
  </si>
  <si>
    <t>TOTAL DEPOSITS</t>
  </si>
  <si>
    <t>Central Bank, Monetary Authority, Currency Board (CIMA)</t>
  </si>
  <si>
    <t>Public Financial &amp; Nonfinancial Corporations (Public Entities)</t>
  </si>
  <si>
    <t>Public Financial &amp; Nonfinancial Corps.(SA's &amp; GOC's)</t>
  </si>
  <si>
    <t>TOTAL LIABILITIES &amp; SHAREHOLDERS EQUITY</t>
  </si>
  <si>
    <t>LOANS &amp; ADVANCES - RESIDENT &amp; NON-RESIDENT</t>
  </si>
  <si>
    <t>Non-Financial Corps. (Commercial Private Sector)</t>
  </si>
  <si>
    <t>Non-Financial Corporations (Commercial Private Sector)</t>
  </si>
  <si>
    <t>Non-Financial Corporations (Commerical Private Sector)</t>
  </si>
  <si>
    <t>Group Bank - Parent, Head Office, Branch, Subsidiary or Affiliate</t>
  </si>
  <si>
    <t>Public Financial &amp; Non-Financial Corporations (SA's &amp; GOC's &amp; Gov. NPI's)</t>
  </si>
  <si>
    <t>n/a</t>
  </si>
  <si>
    <t>LIABILITIES</t>
  </si>
  <si>
    <t>Unconsolidated - Does not include the operations of other entities that operate under these banks outside the Cayman Islands.</t>
  </si>
  <si>
    <t>Other Depository Corporations (Class 'A' Banks - Retail &amp; Non-Retail)</t>
  </si>
  <si>
    <t>ASSETS</t>
  </si>
  <si>
    <t xml:space="preserve">    o/w Production, Manufacturing &amp; Construction</t>
  </si>
  <si>
    <t xml:space="preserve">    o/w Services (tourist accomodation, transportation, communication &amp; other services)</t>
  </si>
  <si>
    <t xml:space="preserve">    o/w Domestic Property</t>
  </si>
  <si>
    <t xml:space="preserve">    o/w Motor Vehicles</t>
  </si>
  <si>
    <t xml:space="preserve">    o/w Education</t>
  </si>
  <si>
    <t xml:space="preserve">    o/w Miscellaneous </t>
  </si>
  <si>
    <t>Other Depository Corporations (Class 'A' Banks- Retail &amp; Non-Retail)</t>
  </si>
  <si>
    <t>CASH ITEMS</t>
  </si>
  <si>
    <t>DEPOSIT BALANCES &amp; CD'S  - RESIDENT&amp; NON-RESIDENT</t>
  </si>
  <si>
    <t>RESIDENT</t>
  </si>
  <si>
    <t xml:space="preserve">Other Depository Corps. ('A' Banks - Retail &amp; Non-Retail) </t>
  </si>
  <si>
    <t>NON-RESIDENT</t>
  </si>
  <si>
    <t>OTHER DEPOSITS - NON-RESIDENT</t>
  </si>
  <si>
    <t xml:space="preserve">PREMISES, FIXED ASSETS &amp; GOODWILL </t>
  </si>
  <si>
    <t>ASSETS - CATEGORY 'A' - RETAIL &amp; NON-RETAIL BANKS (in USD 000's) - UNCONSOLIDATED (CAYMAN OPERATIONS ONLY)</t>
  </si>
  <si>
    <t>LIABILITIES - CATEGORY 'A'  - RETAIL &amp; NON-RETAIL BANKS (in USD 000's) - UNCONSOLIDATED (CAYMAN OPERATIONS ONLY)</t>
  </si>
  <si>
    <t>OTHER INVESTMENTS  - RESIDENT &amp; NON-RESIDENT</t>
  </si>
  <si>
    <t>Other Depository Corps. ('B' Banks )</t>
  </si>
  <si>
    <t xml:space="preserve">Other Financial Corps. ('A' Banks - Retail &amp; Non-Retail) </t>
  </si>
  <si>
    <t>Other Depository Corporations (Class 'B' Banks)</t>
  </si>
  <si>
    <t>Other Banks</t>
  </si>
  <si>
    <t>DEBT &amp; EQUITY SECURITIES - RESIDENT &amp; NON-RESIDENT</t>
  </si>
  <si>
    <t xml:space="preserve">Other Depository Corps. ('B' Banks ) </t>
  </si>
  <si>
    <t>Depository Corporations</t>
  </si>
  <si>
    <t xml:space="preserve">    o/w Central Banks, Monetary Authority (CIMA)</t>
  </si>
  <si>
    <t xml:space="preserve">    o/w Other Depository Corps. ('A' Banks - Retail &amp; Non-Retail) </t>
  </si>
  <si>
    <t xml:space="preserve">    o/w Other Depository Corps. ('B' Banks) </t>
  </si>
  <si>
    <t xml:space="preserve">    o/w Insurance Companies and Pension Funds</t>
  </si>
  <si>
    <t xml:space="preserve">    o/w Trusts &amp; Mutual Funds</t>
  </si>
  <si>
    <t xml:space="preserve">    o/w Securities Dealers, Brokers &amp; Agents</t>
  </si>
  <si>
    <t xml:space="preserve">    o/w Other Financial Intermediaries &amp; Auxiliaries)</t>
  </si>
  <si>
    <t>REPO'S, TERM DEBT &amp; OTHER BORROWINGS</t>
  </si>
  <si>
    <t>Financial Corporations (Depository &amp; Other Financial Corporations)</t>
  </si>
  <si>
    <t xml:space="preserve"> </t>
  </si>
  <si>
    <t xml:space="preserve">    o/w Trade &amp; Commerce (wholesale/retail trade; real estate, property mgt &amp; related act.)</t>
  </si>
  <si>
    <t xml:space="preserve">  o/w Group Affiliated Entities (Resident) - Corporations, Funds, Insurance, Trusts, etc.)</t>
  </si>
  <si>
    <t>2014Q1</t>
  </si>
  <si>
    <t>Other Financial Corps. ( Financial Intermediaries, Auxiliaries &amp; Non-Bank Financial Inst's.)</t>
  </si>
  <si>
    <t>Year 2014Q1 - DBA was revised to capture data on Non-Resident: Non-Financial Corps - Commercial Private Sector, Governments, Households &amp; Non-Profit Associations</t>
  </si>
  <si>
    <t>2014Q2</t>
  </si>
  <si>
    <t>2014Q3</t>
  </si>
  <si>
    <t>2014Q4</t>
  </si>
  <si>
    <t>n/a - The design of the DBA Survey Form did not capture this breakdown for those periods.</t>
  </si>
  <si>
    <t>In Year 2011 Q3 a Category 'A' retail bank restructured its operations between retail and non-retail.</t>
  </si>
  <si>
    <t>2015Q1</t>
  </si>
  <si>
    <t>InYear 2015Q1, a Cateogry A retail bank and a Category A non-retail bank changed its license to a Category B bank.</t>
  </si>
  <si>
    <t>2015Q2</t>
  </si>
  <si>
    <t>2015Q3</t>
  </si>
  <si>
    <t>2015Q4</t>
  </si>
  <si>
    <t>In Year 2015Q3, CIMA advised a Category A bank to include non-resident transactions (primarily loans and deposits) that was previosuly not considered 'cayman banking operations' on the DBA.</t>
  </si>
  <si>
    <t xml:space="preserve">In Year 2015Q4, CIMA advised a Category A bank, who has entities outside of the Cayman Islands but under the Cayman Islands licence, to report the non-resident transactions (primarily loans and deposits) associated with these entities on the DBA. </t>
  </si>
  <si>
    <t>2016Q1</t>
  </si>
  <si>
    <t>Updated June 2016 for period ending March 2016.</t>
  </si>
  <si>
    <t>OTHER ASSETS (including interest, cheques under collection,)</t>
  </si>
  <si>
    <t>Non-Financial Corporations - Commercial Private Sector</t>
  </si>
  <si>
    <t xml:space="preserve"> Non-Financial Corporations - Commercial Private Sector</t>
  </si>
  <si>
    <t>Other Financial Corps. ( Financial Intermediaries &amp; Non-Bank Financial Inst's.)</t>
  </si>
  <si>
    <t>Other Sectors - Government, Households &amp; Non-Profit Associations</t>
  </si>
  <si>
    <t xml:space="preserve">NOTES &amp; COINS IN HAND </t>
  </si>
  <si>
    <t>Others (Non-Financial Corporations, Households &amp; Non-Profits)</t>
  </si>
  <si>
    <t>Other Sectors - Households &amp; Non-Profit Associations</t>
  </si>
  <si>
    <t>Other Sectors (Households &amp; Non-Profit Associations)</t>
  </si>
  <si>
    <t>Other Sectors - Governments &amp; Households</t>
  </si>
  <si>
    <t>Others (Households &amp; Non-Profits)</t>
  </si>
  <si>
    <t>Other Sectors - Government &amp; Households</t>
  </si>
  <si>
    <t xml:space="preserve">Other Financial Corps. (Financial Intermediaries, Auxiliaries &amp; Non-Bank Financial Inst's.) </t>
  </si>
  <si>
    <t xml:space="preserve">    o/w Trade &amp; Commerce (wholesale/retail trade; real estate, property mgt. &amp; related act.)</t>
  </si>
  <si>
    <r>
      <t xml:space="preserve">OTHER ASSETS </t>
    </r>
    <r>
      <rPr>
        <b/>
        <i/>
        <sz val="8"/>
        <rFont val="Verdana"/>
        <family val="2"/>
      </rPr>
      <t>(including interest, cheques under collection,)</t>
    </r>
  </si>
  <si>
    <t xml:space="preserve">                                                                                                      ASSETS - CATEGORY 'A' - RETAIL &amp; NON-RETAIL BANKS (in USD 000's) - UNCONSOLIDATED </t>
  </si>
  <si>
    <t xml:space="preserve">                                                                                                                LIABILITIES - CATEGORY 'A'  - RETAIL &amp; NON-RETAIL BANKS (in USD 000's) - UNCONSOLIDATED</t>
  </si>
  <si>
    <t xml:space="preserve">    o/w Group Affiliated Entities (Resident) - Corporations, Funds, Insurance, Trusts, etc.)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</si>
  <si>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</si>
  <si>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</si>
  <si>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</si>
  <si>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</si>
  <si>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</si>
  <si>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</si>
  <si>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</si>
  <si>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</si>
  <si>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</si>
  <si>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</si>
  <si>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</si>
  <si>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</si>
  <si>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</si>
  <si>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</si>
  <si>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</si>
  <si>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</si>
  <si>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</si>
  <si>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</si>
  <si>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</si>
  <si>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</si>
  <si>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</si>
  <si>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</si>
  <si>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</si>
  <si>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</si>
  <si>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</si>
  <si>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Updated July 2026 for period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</si>
</sst>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Verdana"/>
      <family val="2"/>
    </font>
    <font>
      <u val="double"/>
      <sz val="12"/>
      <name val="Verdana"/>
      <family val="2"/>
    </font>
    <font>
      <b/>
      <sz val="9"/>
      <color indexed="8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  <font>
      <b/>
      <u/>
      <sz val="9"/>
      <color indexed="63"/>
      <name val="Verdana"/>
      <family val="2"/>
    </font>
    <font>
      <sz val="8"/>
      <color indexed="63"/>
      <name val="Verdana"/>
      <family val="2"/>
    </font>
    <font>
      <i/>
      <sz val="8"/>
      <color indexed="63"/>
      <name val="Verdana"/>
      <family val="2"/>
    </font>
    <font>
      <b/>
      <i/>
      <sz val="8"/>
      <color indexed="63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b/>
      <sz val="8"/>
      <color indexed="63"/>
      <name val="Verdana"/>
      <family val="2"/>
    </font>
    <font>
      <i/>
      <sz val="9"/>
      <name val="Verdana"/>
      <family val="2"/>
    </font>
    <font>
      <i/>
      <sz val="9"/>
      <color indexed="8"/>
      <name val="Verdana"/>
      <family val="2"/>
    </font>
    <font>
      <sz val="8"/>
      <color indexed="10"/>
      <name val="Verdana"/>
      <family val="2"/>
    </font>
    <font>
      <b/>
      <i/>
      <sz val="8"/>
      <name val="Verdana"/>
      <family val="2"/>
    </font>
    <font>
      <i/>
      <sz val="8"/>
      <color indexed="10"/>
      <name val="Verdana"/>
      <family val="2"/>
    </font>
    <font>
      <b/>
      <u/>
      <sz val="8"/>
      <color indexed="63"/>
      <name val="Verdana"/>
      <family val="2"/>
    </font>
    <font>
      <b/>
      <u val="double"/>
      <sz val="10"/>
      <name val="Verdana"/>
      <family val="2"/>
    </font>
    <font>
      <sz val="10"/>
      <name val="Verdana"/>
      <family val="2"/>
    </font>
    <font>
      <b/>
      <u/>
      <sz val="8"/>
      <name val="Verdana"/>
      <family val="2"/>
    </font>
    <font>
      <b/>
      <sz val="9"/>
      <color indexed="63"/>
      <name val="Verdana"/>
      <family val="2"/>
    </font>
    <font>
      <sz val="9"/>
      <color indexed="63"/>
      <name val="Verdana"/>
      <family val="2"/>
    </font>
    <font>
      <i/>
      <sz val="9"/>
      <color indexed="63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indexed="9"/>
      <name val="Verdana"/>
      <family val="2"/>
    </font>
    <font>
      <b/>
      <u val="double"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16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6" applyFont="1"/>
    <xf numFmtId="0" fontId="32" fillId="0" borderId="0" xfId="0" applyFont="1" applyAlignment="1">
      <alignment horizontal="right"/>
    </xf>
    <xf numFmtId="0" fontId="12" fillId="0" borderId="0" xfId="0" applyFont="1"/>
    <xf numFmtId="164" fontId="12" fillId="0" borderId="0" xfId="1" applyNumberFormat="1" applyFont="1" applyFill="1" applyAlignment="1">
      <alignment horizontal="right"/>
    </xf>
    <xf numFmtId="0" fontId="12" fillId="0" borderId="0" xfId="5" applyFont="1"/>
    <xf numFmtId="0" fontId="13" fillId="0" borderId="0" xfId="0" applyFont="1"/>
    <xf numFmtId="164" fontId="6" fillId="0" borderId="0" xfId="1" applyNumberFormat="1" applyFont="1" applyFill="1" applyAlignment="1">
      <alignment horizontal="right"/>
    </xf>
    <xf numFmtId="0" fontId="14" fillId="0" borderId="0" xfId="0" applyFont="1"/>
    <xf numFmtId="37" fontId="6" fillId="0" borderId="0" xfId="2" applyNumberFormat="1" applyFont="1" applyFill="1" applyAlignment="1">
      <alignment horizontal="right"/>
    </xf>
    <xf numFmtId="0" fontId="15" fillId="0" borderId="0" xfId="0" applyFont="1"/>
    <xf numFmtId="164" fontId="6" fillId="0" borderId="0" xfId="2" applyNumberFormat="1" applyFont="1" applyFill="1" applyAlignment="1">
      <alignment horizontal="right"/>
    </xf>
    <xf numFmtId="0" fontId="14" fillId="0" borderId="0" xfId="5" applyFont="1"/>
    <xf numFmtId="0" fontId="6" fillId="0" borderId="0" xfId="0" applyFont="1"/>
    <xf numFmtId="0" fontId="16" fillId="0" borderId="0" xfId="0" applyFont="1"/>
    <xf numFmtId="3" fontId="12" fillId="0" borderId="0" xfId="0" applyNumberFormat="1" applyFont="1"/>
    <xf numFmtId="0" fontId="17" fillId="0" borderId="0" xfId="0" applyFont="1"/>
    <xf numFmtId="0" fontId="18" fillId="0" borderId="0" xfId="0" applyFont="1"/>
    <xf numFmtId="1" fontId="6" fillId="0" borderId="0" xfId="1" applyNumberFormat="1" applyFont="1" applyFill="1" applyAlignment="1">
      <alignment horizontal="right"/>
    </xf>
    <xf numFmtId="164" fontId="4" fillId="0" borderId="0" xfId="1" applyNumberFormat="1" applyFont="1" applyFill="1" applyAlignment="1">
      <alignment horizontal="center"/>
    </xf>
    <xf numFmtId="164" fontId="6" fillId="0" borderId="0" xfId="1" applyNumberFormat="1" applyFont="1" applyFill="1"/>
    <xf numFmtId="164" fontId="5" fillId="0" borderId="0" xfId="1" applyNumberFormat="1" applyFont="1" applyFill="1"/>
    <xf numFmtId="0" fontId="19" fillId="0" borderId="0" xfId="0" applyFont="1"/>
    <xf numFmtId="0" fontId="20" fillId="0" borderId="0" xfId="0" applyFont="1"/>
    <xf numFmtId="0" fontId="14" fillId="3" borderId="0" xfId="0" applyFont="1" applyFill="1"/>
    <xf numFmtId="0" fontId="21" fillId="0" borderId="0" xfId="0" applyFont="1" applyAlignment="1">
      <alignment horizontal="center"/>
    </xf>
    <xf numFmtId="0" fontId="18" fillId="4" borderId="0" xfId="0" applyFont="1" applyFill="1"/>
    <xf numFmtId="3" fontId="20" fillId="4" borderId="0" xfId="0" applyNumberFormat="1" applyFont="1" applyFill="1"/>
    <xf numFmtId="3" fontId="6" fillId="0" borderId="0" xfId="0" applyNumberFormat="1" applyFont="1"/>
    <xf numFmtId="0" fontId="22" fillId="0" borderId="0" xfId="0" applyFont="1"/>
    <xf numFmtId="0" fontId="23" fillId="0" borderId="0" xfId="0" applyFont="1"/>
    <xf numFmtId="37" fontId="20" fillId="4" borderId="0" xfId="1" applyNumberFormat="1" applyFont="1" applyFill="1"/>
    <xf numFmtId="0" fontId="20" fillId="4" borderId="0" xfId="0" applyFont="1" applyFill="1" applyAlignment="1">
      <alignment horizontal="right"/>
    </xf>
    <xf numFmtId="0" fontId="24" fillId="0" borderId="0" xfId="0" applyFont="1"/>
    <xf numFmtId="0" fontId="15" fillId="4" borderId="0" xfId="0" applyFont="1" applyFill="1"/>
    <xf numFmtId="0" fontId="25" fillId="0" borderId="0" xfId="0" applyFont="1"/>
    <xf numFmtId="164" fontId="4" fillId="0" borderId="0" xfId="1" applyNumberFormat="1" applyFont="1" applyAlignment="1">
      <alignment horizontal="center"/>
    </xf>
    <xf numFmtId="164" fontId="5" fillId="0" borderId="0" xfId="1" applyNumberFormat="1" applyFont="1"/>
    <xf numFmtId="0" fontId="26" fillId="0" borderId="0" xfId="0" applyFont="1"/>
    <xf numFmtId="0" fontId="10" fillId="0" borderId="0" xfId="0" applyFont="1"/>
    <xf numFmtId="3" fontId="10" fillId="0" borderId="0" xfId="0" applyNumberFormat="1" applyFont="1"/>
    <xf numFmtId="0" fontId="20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7" fillId="0" borderId="0" xfId="0" applyFont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0" borderId="0" xfId="0" applyFont="1" applyAlignment="1">
      <alignment horizontal="right"/>
    </xf>
    <xf numFmtId="0" fontId="9" fillId="3" borderId="0" xfId="0" applyFont="1" applyFill="1"/>
    <xf numFmtId="0" fontId="11" fillId="3" borderId="0" xfId="6" applyFont="1" applyFill="1"/>
    <xf numFmtId="164" fontId="17" fillId="3" borderId="0" xfId="1" applyNumberFormat="1" applyFont="1" applyFill="1" applyBorder="1" applyAlignment="1">
      <alignment horizontal="right"/>
    </xf>
    <xf numFmtId="0" fontId="17" fillId="3" borderId="0" xfId="6" applyFont="1" applyFill="1" applyAlignment="1">
      <alignment horizontal="right"/>
    </xf>
    <xf numFmtId="0" fontId="28" fillId="3" borderId="0" xfId="6" applyFont="1" applyFill="1" applyAlignment="1">
      <alignment horizontal="right"/>
    </xf>
    <xf numFmtId="0" fontId="33" fillId="3" borderId="0" xfId="0" applyFont="1" applyFill="1" applyAlignment="1">
      <alignment horizontal="right"/>
    </xf>
    <xf numFmtId="0" fontId="33" fillId="0" borderId="0" xfId="0" applyFont="1" applyAlignment="1">
      <alignment horizontal="right"/>
    </xf>
    <xf numFmtId="0" fontId="12" fillId="3" borderId="0" xfId="0" applyFont="1" applyFill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164" fontId="12" fillId="3" borderId="0" xfId="1" applyNumberFormat="1" applyFont="1" applyFill="1" applyAlignment="1">
      <alignment horizontal="right"/>
    </xf>
    <xf numFmtId="164" fontId="17" fillId="3" borderId="0" xfId="1" applyNumberFormat="1" applyFont="1" applyFill="1" applyAlignment="1">
      <alignment horizontal="right"/>
    </xf>
    <xf numFmtId="0" fontId="12" fillId="3" borderId="0" xfId="5" applyFont="1" applyFill="1"/>
    <xf numFmtId="0" fontId="13" fillId="3" borderId="0" xfId="0" applyFont="1" applyFill="1"/>
    <xf numFmtId="164" fontId="29" fillId="3" borderId="0" xfId="1" applyNumberFormat="1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30" fillId="3" borderId="0" xfId="1" applyNumberFormat="1" applyFont="1" applyFill="1" applyAlignment="1">
      <alignment horizontal="right"/>
    </xf>
    <xf numFmtId="164" fontId="6" fillId="3" borderId="0" xfId="1" applyNumberFormat="1" applyFont="1" applyFill="1" applyAlignment="1">
      <alignment horizontal="right"/>
    </xf>
    <xf numFmtId="164" fontId="5" fillId="3" borderId="0" xfId="1" applyNumberFormat="1" applyFont="1" applyFill="1" applyAlignment="1">
      <alignment horizontal="right"/>
    </xf>
    <xf numFmtId="0" fontId="30" fillId="3" borderId="0" xfId="0" applyFont="1" applyFill="1" applyAlignment="1">
      <alignment horizontal="right"/>
    </xf>
    <xf numFmtId="37" fontId="5" fillId="3" borderId="0" xfId="2" applyNumberFormat="1" applyFont="1" applyFill="1" applyAlignment="1">
      <alignment horizontal="right"/>
    </xf>
    <xf numFmtId="37" fontId="5" fillId="3" borderId="0" xfId="1" applyNumberFormat="1" applyFont="1" applyFill="1"/>
    <xf numFmtId="0" fontId="15" fillId="3" borderId="0" xfId="0" applyFont="1" applyFill="1"/>
    <xf numFmtId="0" fontId="15" fillId="3" borderId="0" xfId="0" applyFont="1" applyFill="1" applyAlignment="1">
      <alignment horizontal="right"/>
    </xf>
    <xf numFmtId="164" fontId="5" fillId="3" borderId="0" xfId="2" applyNumberFormat="1" applyFont="1" applyFill="1" applyAlignment="1">
      <alignment horizontal="right"/>
    </xf>
    <xf numFmtId="0" fontId="14" fillId="3" borderId="0" xfId="5" applyFont="1" applyFill="1"/>
    <xf numFmtId="3" fontId="6" fillId="3" borderId="0" xfId="0" applyNumberFormat="1" applyFont="1" applyFill="1" applyAlignment="1">
      <alignment horizontal="right"/>
    </xf>
    <xf numFmtId="0" fontId="16" fillId="3" borderId="0" xfId="0" applyFont="1" applyFill="1"/>
    <xf numFmtId="0" fontId="18" fillId="3" borderId="0" xfId="0" applyFont="1" applyFill="1" applyAlignment="1">
      <alignment horizontal="right"/>
    </xf>
    <xf numFmtId="0" fontId="10" fillId="3" borderId="0" xfId="0" applyFont="1" applyFill="1" applyAlignment="1">
      <alignment horizontal="center"/>
    </xf>
    <xf numFmtId="3" fontId="17" fillId="3" borderId="0" xfId="0" applyNumberFormat="1" applyFont="1" applyFill="1"/>
    <xf numFmtId="0" fontId="17" fillId="3" borderId="0" xfId="0" applyFont="1" applyFill="1"/>
    <xf numFmtId="37" fontId="6" fillId="3" borderId="0" xfId="1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8" fillId="3" borderId="0" xfId="0" applyFont="1" applyFill="1"/>
    <xf numFmtId="164" fontId="14" fillId="3" borderId="0" xfId="1" applyNumberFormat="1" applyFont="1" applyFill="1" applyAlignment="1">
      <alignment horizontal="right"/>
    </xf>
    <xf numFmtId="1" fontId="5" fillId="3" borderId="0" xfId="1" applyNumberFormat="1" applyFont="1" applyFill="1" applyAlignment="1">
      <alignment horizontal="right"/>
    </xf>
    <xf numFmtId="0" fontId="30" fillId="3" borderId="0" xfId="5" applyFont="1" applyFill="1" applyAlignment="1">
      <alignment horizontal="right"/>
    </xf>
    <xf numFmtId="164" fontId="5" fillId="3" borderId="0" xfId="1" applyNumberFormat="1" applyFont="1" applyFill="1"/>
    <xf numFmtId="0" fontId="19" fillId="3" borderId="0" xfId="0" applyFont="1" applyFill="1"/>
    <xf numFmtId="0" fontId="19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29" fillId="3" borderId="0" xfId="0" applyFont="1" applyFill="1" applyAlignment="1">
      <alignment horizontal="right"/>
    </xf>
    <xf numFmtId="3" fontId="30" fillId="3" borderId="0" xfId="0" applyNumberFormat="1" applyFont="1" applyFill="1" applyAlignment="1">
      <alignment horizontal="right"/>
    </xf>
    <xf numFmtId="165" fontId="30" fillId="3" borderId="0" xfId="1" applyNumberFormat="1" applyFont="1" applyFill="1" applyAlignment="1">
      <alignment horizontal="right"/>
    </xf>
    <xf numFmtId="0" fontId="14" fillId="3" borderId="0" xfId="5" applyFont="1" applyFill="1" applyAlignment="1">
      <alignment horizontal="right"/>
    </xf>
    <xf numFmtId="0" fontId="14" fillId="3" borderId="0" xfId="0" applyFont="1" applyFill="1" applyAlignment="1">
      <alignment horizontal="right"/>
    </xf>
    <xf numFmtId="165" fontId="14" fillId="3" borderId="0" xfId="1" applyNumberFormat="1" applyFont="1" applyFill="1" applyAlignment="1">
      <alignment horizontal="right"/>
    </xf>
    <xf numFmtId="0" fontId="21" fillId="3" borderId="0" xfId="0" applyFont="1" applyFill="1" applyAlignment="1">
      <alignment horizontal="center"/>
    </xf>
    <xf numFmtId="164" fontId="20" fillId="4" borderId="0" xfId="1" applyNumberFormat="1" applyFont="1" applyFill="1" applyAlignment="1">
      <alignment horizontal="right"/>
    </xf>
    <xf numFmtId="3" fontId="20" fillId="4" borderId="0" xfId="0" applyNumberFormat="1" applyFont="1" applyFill="1" applyAlignment="1">
      <alignment horizontal="right"/>
    </xf>
    <xf numFmtId="3" fontId="18" fillId="3" borderId="0" xfId="0" applyNumberFormat="1" applyFont="1" applyFill="1"/>
    <xf numFmtId="3" fontId="5" fillId="3" borderId="0" xfId="0" applyNumberFormat="1" applyFont="1" applyFill="1"/>
    <xf numFmtId="0" fontId="22" fillId="3" borderId="0" xfId="0" applyFont="1" applyFill="1"/>
    <xf numFmtId="0" fontId="23" fillId="3" borderId="0" xfId="0" applyFont="1" applyFill="1"/>
    <xf numFmtId="0" fontId="20" fillId="3" borderId="0" xfId="0" applyFont="1" applyFill="1" applyAlignment="1">
      <alignment horizontal="right"/>
    </xf>
    <xf numFmtId="37" fontId="18" fillId="3" borderId="0" xfId="1" applyNumberFormat="1" applyFont="1" applyFill="1"/>
    <xf numFmtId="0" fontId="24" fillId="3" borderId="0" xfId="0" applyFont="1" applyFill="1"/>
    <xf numFmtId="37" fontId="20" fillId="4" borderId="0" xfId="1" applyNumberFormat="1" applyFont="1" applyFill="1" applyAlignment="1">
      <alignment horizontal="right"/>
    </xf>
    <xf numFmtId="3" fontId="20" fillId="3" borderId="0" xfId="0" applyNumberFormat="1" applyFont="1" applyFill="1" applyAlignment="1">
      <alignment horizontal="right"/>
    </xf>
    <xf numFmtId="3" fontId="20" fillId="0" borderId="0" xfId="0" applyNumberFormat="1" applyFont="1"/>
    <xf numFmtId="164" fontId="18" fillId="4" borderId="0" xfId="1" applyNumberFormat="1" applyFont="1" applyFill="1" applyAlignment="1">
      <alignment horizontal="right"/>
    </xf>
    <xf numFmtId="3" fontId="18" fillId="4" borderId="0" xfId="0" applyNumberFormat="1" applyFont="1" applyFill="1" applyAlignment="1">
      <alignment horizontal="right"/>
    </xf>
    <xf numFmtId="0" fontId="25" fillId="3" borderId="0" xfId="0" applyFont="1" applyFill="1"/>
    <xf numFmtId="0" fontId="4" fillId="3" borderId="0" xfId="0" applyFont="1" applyFill="1" applyAlignment="1">
      <alignment horizontal="left"/>
    </xf>
    <xf numFmtId="0" fontId="14" fillId="3" borderId="0" xfId="5" applyFont="1" applyFill="1" applyAlignment="1">
      <alignment horizontal="left"/>
    </xf>
    <xf numFmtId="3" fontId="5" fillId="3" borderId="0" xfId="0" applyNumberFormat="1" applyFont="1" applyFill="1" applyAlignment="1">
      <alignment horizontal="left"/>
    </xf>
    <xf numFmtId="164" fontId="5" fillId="3" borderId="0" xfId="1" applyNumberFormat="1" applyFont="1" applyFill="1" applyAlignment="1">
      <alignment horizontal="left"/>
    </xf>
    <xf numFmtId="37" fontId="5" fillId="3" borderId="0" xfId="2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14" fillId="3" borderId="0" xfId="0" applyFont="1" applyFill="1" applyAlignment="1">
      <alignment horizontal="left"/>
    </xf>
    <xf numFmtId="165" fontId="5" fillId="3" borderId="0" xfId="1" applyNumberFormat="1" applyFont="1" applyFill="1" applyAlignment="1">
      <alignment horizontal="left"/>
    </xf>
    <xf numFmtId="0" fontId="6" fillId="0" borderId="0" xfId="0" applyFont="1" applyAlignment="1">
      <alignment horizontal="right" indent="1"/>
    </xf>
    <xf numFmtId="164" fontId="12" fillId="3" borderId="0" xfId="0" applyNumberFormat="1" applyFont="1" applyFill="1" applyAlignment="1">
      <alignment horizontal="right"/>
    </xf>
    <xf numFmtId="164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7" fillId="2" borderId="1" xfId="0" applyFont="1" applyFill="1" applyBorder="1"/>
    <xf numFmtId="0" fontId="32" fillId="2" borderId="2" xfId="0" applyFont="1" applyFill="1" applyBorder="1" applyAlignment="1">
      <alignment horizontal="right"/>
    </xf>
    <xf numFmtId="0" fontId="29" fillId="3" borderId="0" xfId="0" applyFont="1" applyFill="1"/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31" fillId="3" borderId="0" xfId="5" applyFont="1" applyFill="1" applyAlignment="1">
      <alignment horizontal="right"/>
    </xf>
    <xf numFmtId="164" fontId="18" fillId="3" borderId="0" xfId="1" applyNumberFormat="1" applyFont="1" applyFill="1"/>
    <xf numFmtId="164" fontId="19" fillId="3" borderId="0" xfId="1" applyNumberFormat="1" applyFont="1" applyFill="1" applyAlignment="1">
      <alignment horizontal="right"/>
    </xf>
    <xf numFmtId="164" fontId="20" fillId="0" borderId="0" xfId="1" applyNumberFormat="1" applyFont="1" applyFill="1" applyAlignment="1">
      <alignment horizontal="right"/>
    </xf>
    <xf numFmtId="3" fontId="20" fillId="0" borderId="0" xfId="0" applyNumberFormat="1" applyFont="1" applyAlignment="1">
      <alignment horizontal="right"/>
    </xf>
    <xf numFmtId="37" fontId="18" fillId="0" borderId="0" xfId="2" applyNumberFormat="1" applyFont="1" applyFill="1" applyAlignment="1">
      <alignment horizontal="right"/>
    </xf>
    <xf numFmtId="164" fontId="30" fillId="0" borderId="0" xfId="1" applyNumberFormat="1" applyFont="1" applyFill="1" applyAlignment="1">
      <alignment horizontal="right"/>
    </xf>
    <xf numFmtId="3" fontId="23" fillId="0" borderId="0" xfId="0" applyNumberFormat="1" applyFont="1"/>
    <xf numFmtId="37" fontId="12" fillId="3" borderId="0" xfId="0" applyNumberFormat="1" applyFont="1" applyFill="1" applyAlignment="1">
      <alignment horizontal="right"/>
    </xf>
    <xf numFmtId="0" fontId="15" fillId="3" borderId="0" xfId="5" applyFont="1" applyFill="1" applyAlignment="1">
      <alignment horizontal="right"/>
    </xf>
    <xf numFmtId="0" fontId="27" fillId="3" borderId="0" xfId="0" applyFont="1" applyFill="1"/>
    <xf numFmtId="0" fontId="5" fillId="2" borderId="1" xfId="0" applyFont="1" applyFill="1" applyBorder="1"/>
    <xf numFmtId="0" fontId="32" fillId="2" borderId="1" xfId="0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8" fillId="2" borderId="1" xfId="0" applyFont="1" applyFill="1" applyBorder="1"/>
    <xf numFmtId="0" fontId="34" fillId="2" borderId="3" xfId="0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right"/>
    </xf>
    <xf numFmtId="0" fontId="33" fillId="2" borderId="5" xfId="0" applyFont="1" applyFill="1" applyBorder="1" applyAlignment="1">
      <alignment horizontal="right"/>
    </xf>
    <xf numFmtId="0" fontId="32" fillId="2" borderId="4" xfId="0" applyFont="1" applyFill="1" applyBorder="1" applyAlignment="1">
      <alignment horizontal="right"/>
    </xf>
    <xf numFmtId="0" fontId="34" fillId="2" borderId="3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847725</xdr:colOff>
      <xdr:row>1</xdr:row>
      <xdr:rowOff>238125</xdr:rowOff>
    </xdr:to>
    <xdr:pic>
      <xdr:nvPicPr>
        <xdr:cNvPr id="1994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1D2AD741-3E48-4322-A7FD-A166569B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8477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885825</xdr:colOff>
      <xdr:row>1</xdr:row>
      <xdr:rowOff>238125</xdr:rowOff>
    </xdr:to>
    <xdr:pic>
      <xdr:nvPicPr>
        <xdr:cNvPr id="634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6AD56571-06C1-4F34-8D95-88BD1B79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0/A%20&amp;%20L%20-%20Category%20A%20Retail%20Banks%202007%20-%202020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0/A%20&amp;%20L%20-%20Category%20A%20Retail%20Banks%202007%20-%202020Q1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1/A%20&amp;%20L%20-%20A%20Non-Retail%20Banks%202007%20-%202021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1/A%20&amp;%20L%20-%20A%20Non-Retail%20Banks%202007%20-%202021Q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1/A%20&amp;%20L%20-%20Category%20A%20Retail%20Banks%202007%20-%202021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1/A%20&amp;%20L%20-%20Category%20A%20Retail%20Banks%202007%20-%202021Q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1/A%20&amp;%20L%20-%20A%20Non-Retail%20Banks%202007%20-%202021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1/A%20&amp;%20L%20-%20A%20Non-Retail%20Banks%202007%20-%202021Q2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1/A%20&amp;%20L%20-%20Category%20A%20Retail%20Banks%202007%20-%202021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1/A%20&amp;%20L%20-%20Category%20A%20Retail%20Banks%202007%20-%202021Q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1/A%20&amp;%20L%20-%20A%20Non-Retail%20Banks%202007%20-%202021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1/A%20&amp;%20L%20-%20A%20Non-Retail%20Banks%202007%20-%202021Q3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1/A%20&amp;%20L%20-%20Category%20A%20Retail%20Banks%202007%20-%202021Q4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1/A%20&amp;%20L%20-%20Category%20A%20Retail%20Banks%202007%20-%202021Q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1/A%20&amp;%20L%20-%20A%20Non-Retail%20Banks%202007%20-%202021Q4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1/A%20&amp;%20L%20-%20A%20Non-Retail%20Banks%202007%20-%202021Q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2/A%20&amp;%20L%20-%20Category%20A%20Retail%20Banks%202007%20-%202022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2/A%20&amp;%20L%20-%20Category%20A%20Retail%20Banks%202007%20-%202022Q1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2/A%20&amp;%20L%20-%20A%20Non-Retail%20Banks%202007%20-%202022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2/A%20&amp;%20L%20-%20A%20Non-Retail%20Banks%202007%20-%202022Q1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2/A%20&amp;%20L%20-%20Category%20A%20Retail%20Banks%202007%20-%202022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2/A%20&amp;%20L%20-%20Category%20A%20Retail%20Banks%202007%20-%202022Q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0/A%20&amp;%20L%20-%20A%20Non-Retail%20Banks%202007%20-%202020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0/A%20&amp;%20L%20-%20A%20Non-Retail%20Banks%202007%20-%202020Q1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2/A%20&amp;%20L%20-%20A%20Non-Retail%20Banks%202007%20-%202022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2/A%20&amp;%20L%20-%20A%20Non-Retail%20Banks%202007%20-%202022Q2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2/A%20&amp;%20L%20-%20Category%20A%20Retail%20Banks%202007%20-%202022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2/A%20&amp;%20L%20-%20Category%20A%20Retail%20Banks%202007%20-%202022Q3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2/A%20&amp;%20L%20-%20A%20Non-Retail%20Banks%202007%20-%202022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2/A%20&amp;%20L%20-%20A%20Non-Retail%20Banks%202007%20-%202022Q3.xlsx" TargetMode="External"/></Relationships>
</file>

<file path=xl/externalLinks/_rels/externalLink2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3/A%20&amp;%20L%20-%20Category%20A%20Retail%20Banks%202007%20-%202023Q1.xlsx" TargetMode="External"/><Relationship Id="rId2" Type="http://schemas.openxmlformats.org/officeDocument/2006/relationships/externalLinkPath" Target="file:///L:\STATISTICS\DBA%20Domestic%20Banking%20Activity%20-DBA\DBA%20-%20Website%20-%20Statement%20of%20Assets%20&amp;%20Liabilities\Statement%20of%20Assets%20&amp;%20Liab%20-%20A%20Retail%20Banks\2023\A%20&amp;%20L%20-%20Category%20A%20Retail%20Banks%202007%20-%202023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3/A%20&amp;%20L%20-%20Category%20A%20Retail%20Banks%202007%20-%202023Q1.xlsx" TargetMode="External"/></Relationships>
</file>

<file path=xl/externalLinks/_rels/externalLink2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3/A%20&amp;%20L%20-%20A%20Non-Retail%20Banks%202007%20-%202023Q1.xlsx" TargetMode="External"/><Relationship Id="rId2" Type="http://schemas.openxmlformats.org/officeDocument/2006/relationships/externalLinkPath" Target="file:///L:\STATISTICS\DBA%20Domestic%20Banking%20Activity%20-DBA\DBA%20-%20Website%20-%20Statement%20of%20Assets%20&amp;%20Liabilities\Statement%20of%20Assets%20&amp;%20Liab%20-%20A%20Non-Retail%20Banks\2023\A%20&amp;%20L%20-%20A%20Non-Retail%20Banks%202007%20-%202023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3/A%20&amp;%20L%20-%20A%20Non-Retail%20Banks%202007%20-%202023Q1.xlsx" TargetMode="External"/></Relationships>
</file>

<file path=xl/externalLinks/_rels/externalLink2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3/A%20&amp;%20L%20-%20Category%20A%20Retail%20Banks%202007%20-%202023Q2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3\A%20&amp;%20L%20-%20Category%20A%20Retail%20Banks%202007%20-%202023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3/A%20&amp;%20L%20-%20Category%20A%20Retail%20Banks%202007%20-%202023Q2.xlsx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tatement%20of%20Assets%20&amp;%20Liab%20-%20A%20Non-Retail%20Banks/2023/A%20&amp;%20L%20-%20A%20Non-Retail%20Banks%202007%20-%202023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3/A%20&amp;%20L%20-%20A%20Non-Retail%20Banks%202007%20-%202023Q2.xlsx" TargetMode="External"/></Relationships>
</file>

<file path=xl/externalLinks/_rels/externalLink2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3/A%20&amp;%20L%20-%20Category%20A%20Retail%20Banks%202007%20-%202023Q3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3\A%20&amp;%20L%20-%20Category%20A%20Retail%20Banks%202007%20-%202023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3/A%20&amp;%20L%20-%20Category%20A%20Retail%20Banks%202007%20-%202023Q3.xlsx" TargetMode="External"/></Relationships>
</file>

<file path=xl/externalLinks/_rels/externalLink2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3/A%20&amp;%20L%20-%20A%20Non-Retail%20Banks%202007%20-%202023Q3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3\A%20&amp;%20L%20-%20A%20Non-Retail%20Banks%202007%20-%202023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3/A%20&amp;%20L%20-%20A%20Non-Retail%20Banks%202007%20-%202023Q3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tatement%20of%20Assets%20&amp;%20Liab%20-%20A%20Retail%20Banks/2023/A%20&amp;%20L%20-%20Category%20A%20Retail%20Banks%202007%20-%202023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3/A%20&amp;%20L%20-%20Category%20A%20Retail%20Banks%202007%20-%202023Q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0/A%20&amp;%20L%20-%20Category%20A%20Retail%20Banks%202007%20-%202020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0/A%20&amp;%20L%20-%20Category%20A%20Retail%20Banks%202007%20-%202020Q2.xlsx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tatement%20of%20Assets%20&amp;%20Liab%20-%20A%20Non-Retail%20Banks/2023/A%20&amp;%20L%20-%20A%20Non-Retail%20Banks%202007%20-%202023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3/A%20&amp;%20L%20-%20A%20Non-Retail%20Banks%202007%20-%202023Q4.xlsx" TargetMode="External"/></Relationships>
</file>

<file path=xl/externalLinks/_rels/externalLink3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4/A%20&amp;%20L%20-%20Category%20A%20Retail%20Banks%202007%20-%202024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4\A%20&amp;%20L%20-%20Category%20A%20Retail%20Banks%202007%20-%202024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4/A%20&amp;%20L%20-%20Category%20A%20Retail%20Banks%202007%20-%202024Q1.xlsx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4/A%20&amp;%20L%20-%20A%20Non-Retail%20Banks%202007%20-%202024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4\A%20&amp;%20L%20-%20A%20Non-Retail%20Banks%202007%20-%202024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4/A%20&amp;%20L%20-%20A%20Non-Retail%20Banks%202007%20-%202024Q1.xlsx" TargetMode="External"/></Relationships>
</file>

<file path=xl/externalLinks/_rels/externalLink3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4/A%20&amp;%20L%20-%20Category%20A%20Retail%20Banks%202007%20-%202024Q2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4\A%20&amp;%20L%20-%20Category%20A%20Retail%20Banks%202007%20-%202024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4/A%20&amp;%20L%20-%20Category%20A%20Retail%20Banks%202007%20-%202024Q2.xlsx" TargetMode="External"/></Relationships>
</file>

<file path=xl/externalLinks/_rels/externalLink3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4/A%20&amp;%20L%20-%20A%20Non-Retail%20Banks%202007%20-%202024Q2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4\A%20&amp;%20L%20-%20A%20Non-Retail%20Banks%202007%20-%202024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4/A%20&amp;%20L%20-%20A%20Non-Retail%20Banks%202007%20-%202024Q2.xlsx" TargetMode="External"/></Relationships>
</file>

<file path=xl/externalLinks/_rels/externalLink3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4/A%20&amp;%20L%20-%20Category%20A%20Retail%20Banks%202007%20-%202024Q3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4\A%20&amp;%20L%20-%20Category%20A%20Retail%20Banks%202007%20-%202024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4/A%20&amp;%20L%20-%20Category%20A%20Retail%20Banks%202007%20-%202024Q3.xlsx" TargetMode="External"/></Relationships>
</file>

<file path=xl/externalLinks/_rels/externalLink3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4/A%20&amp;%20L%20-%20A%20Non-Retail%20Banks%202007%20-%202024Q3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4\A%20&amp;%20L%20-%20A%20Non-Retail%20Banks%202007%20-%202024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4/A%20&amp;%20L%20-%20A%20Non-Retail%20Banks%202007%20-%202024Q3.xlsx" TargetMode="External"/></Relationships>
</file>

<file path=xl/externalLinks/_rels/externalLink3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4/A%20&amp;%20L%20-%20Category%20A%20Retail%20Banks%202007%20-%202024Q4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4\A%20&amp;%20L%20-%20Category%20A%20Retail%20Banks%202007%20-%202024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4/A%20&amp;%20L%20-%20Category%20A%20Retail%20Banks%202007%20-%202024Q4.xlsx" TargetMode="External"/></Relationships>
</file>

<file path=xl/externalLinks/_rels/externalLink3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4/A%20&amp;%20L%20-%20A%20Non-Retail%20Banks%202007%20-%202024Q4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4\A%20&amp;%20L%20-%20A%20Non-Retail%20Banks%202007%20-%202024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4/A%20&amp;%20L%20-%20A%20Non-Retail%20Banks%202007%20-%202024Q4.xlsx" TargetMode="External"/></Relationships>
</file>

<file path=xl/externalLinks/_rels/externalLink3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5/A%20&amp;%20L%20-%20Category%20A%20Retail%20Banks%202007%20-%202025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5\A%20&amp;%20L%20-%20Category%20A%20Retail%20Banks%202007%20-%202025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5/A%20&amp;%20L%20-%20Category%20A%20Retail%20Banks%202007%20-%202025Q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0/A%20&amp;%20L%20-%20A%20Non-Retail%20Banks%202007%20-%202020Q2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0/A%20&amp;%20L%20-%20A%20Non-Retail%20Banks%202007%20-%202020Q2.xlsx" TargetMode="External"/></Relationships>
</file>

<file path=xl/externalLinks/_rels/externalLink4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5/A%20&amp;%20L%20-%20A%20Non-Retail%20Banks%202007%20-%202025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5\A%20&amp;%20L%20-%20A%20Non-Retail%20Banks%202007%20-%202025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5/A%20&amp;%20L%20-%20A%20Non-Retail%20Banks%202007%20-%202025Q1.xlsx" TargetMode="External"/></Relationships>
</file>

<file path=xl/externalLinks/_rels/externalLink4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5/A%20&amp;%20L%20-%20Category%20A%20Retail%20Banks%202007%20-%202025Q2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5\A%20&amp;%20L%20-%20Category%20A%20Retail%20Banks%202007%20-%202025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5/A%20&amp;%20L%20-%20Category%20A%20Retail%20Banks%202007%20-%202025Q2.xlsx" TargetMode="External"/></Relationships>
</file>

<file path=xl/externalLinks/_rels/externalLink4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5/A%20&amp;%20L%20-%20A%20Non-Retail%20Banks%202007%20-%202025Q2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5\A%20&amp;%20L%20-%20A%20Non-Retail%20Banks%202007%20-%202025Q2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5/A%20&amp;%20L%20-%20A%20Non-Retail%20Banks%202007%20-%202025Q2.xlsx" TargetMode="External"/></Relationships>
</file>

<file path=xl/externalLinks/_rels/externalLink4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5/A%20&amp;%20L%20-%20Category%20A%20Retail%20Banks%202007%20-%202025Q3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5\A%20&amp;%20L%20-%20Category%20A%20Retail%20Banks%202007%20-%202025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5/A%20&amp;%20L%20-%20Category%20A%20Retail%20Banks%202007%20-%202025Q3.xlsx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tatement%20of%20Assets%20&amp;%20Liab%20-%20A%20Non-Retail%20Banks/2025/A%20&amp;%20L%20-%20A%20Non-Retail%20Banks%202007%20-%202025Q3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5/A%20&amp;%20L%20-%20A%20Non-Retail%20Banks%202007%20-%202025Q3.xlsx" TargetMode="External"/></Relationships>
</file>

<file path=xl/externalLinks/_rels/externalLink4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5/A%20&amp;%20L%20-%20Category%20A%20Retail%20Banks%202007%20-%202025Q4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5\A%20&amp;%20L%20-%20Category%20A%20Retail%20Banks%202007%20-%202025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5/A%20&amp;%20L%20-%20Category%20A%20Retail%20Banks%202007%20-%202025Q4.xlsx" TargetMode="External"/></Relationships>
</file>

<file path=xl/externalLinks/_rels/externalLink4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5/A%20&amp;%20L%20-%20A%20Non-Retail%20Banks%202007%20-%202025Q4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5\A%20&amp;%20L%20-%20A%20Non-Retail%20Banks%202007%20-%202025Q4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5/A%20&amp;%20L%20-%20A%20Non-Retail%20Banks%202007%20-%202025Q4.xlsx" TargetMode="External"/></Relationships>
</file>

<file path=xl/externalLinks/_rels/externalLink4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Retail%20Banks/2026/A%20&amp;%20L%20-%20Category%20A%20Retail%20Banks%202007%20-%202026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Retail%20Banks\2026\A%20&amp;%20L%20-%20Category%20A%20Retail%20Banks%202007%20-%202026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Retail%20Banks/2026/A%20&amp;%20L%20-%20Category%20A%20Retail%20Banks%202007%20-%202026Q1.xlsx" TargetMode="External"/></Relationships>
</file>

<file path=xl/externalLinks/_rels/externalLink4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atement%20of%20Assets%20&amp;%20Liab%20-%20A%20Non-Retail%20Banks/2026/A%20&amp;%20L%20-%20A%20Non-Retail%20Banks%202007%20-%202026Q1.xlsx" TargetMode="External"/><Relationship Id="rId2" Type="http://schemas.openxmlformats.org/officeDocument/2006/relationships/externalLinkPath" Target="file:///L:\STATISTICS\SCR\DBA\DBA%20Domestic%20Banking%20Activity%20-DBA\DBA%20-%20Website%20-%20Statement%20of%20Assets%20&amp;%20Liabilities\Statement%20of%20Assets%20&amp;%20Liab%20-%20A%20Non-Retail%20Banks\2026\A%20&amp;%20L%20-%20A%20Non-Retail%20Banks%202007%20-%202026Q1.xlsx" TargetMode="External"/><Relationship Id="rId1" Type="http://schemas.openxmlformats.org/officeDocument/2006/relationships/externalLinkPath" Target="/STATISTICS/SCR/DBA/DBA%20Domestic%20Banking%20Activity%20-DBA/DBA%20-%20Website%20-%20Statement%20of%20Assets%20&amp;%20Liabilities/Statement%20of%20Assets%20&amp;%20Liab%20-%20A%20Non-Retail%20Banks/2026/A%20&amp;%20L%20-%20A%20Non-Retail%20Banks%202007%20-%202026Q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0/A%20&amp;%20L%20-%20Category%20A%20Retail%20Banks%202007%20-%202020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0/A%20&amp;%20L%20-%20Category%20A%20Retail%20Banks%202007%20-%202020Q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0/A%20&amp;%20L%20-%20A%20Non-Retail%20Banks%202007%20-%202020Q3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0/A%20&amp;%20L%20-%20A%20Non-Retail%20Banks%202007%20-%202020Q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0/A%20&amp;%20L%20-%20Category%20A%20Retail%20Banks%202007%20-%202020Q4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0/A%20&amp;%20L%20-%20Category%20A%20Retail%20Banks%202007%20-%202020Q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Non-Retail%20Banks/2020/A%20&amp;%20L%20-%20A%20Non-Retail%20Banks%202007%20-%202020Q4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Non-Retail%20Banks/2020/A%20&amp;%20L%20-%20A%20Non-Retail%20Banks%202007%20-%202020Q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BA%20Domestic%20Banking%20Activity%20-DBA/DBA%20-%20Website%20-%20Statement%20of%20Assets%20&amp;%20Liabilities/Statement%20of%20Assets%20&amp;%20Liab%20-%20A%20Retail%20Banks/2021/A%20&amp;%20L%20-%20Category%20A%20Retail%20Banks%202007%20-%202021Q1.xlsx" TargetMode="External"/><Relationship Id="rId1" Type="http://schemas.openxmlformats.org/officeDocument/2006/relationships/externalLinkPath" Target="/Statistics/DBA%20Domestic%20Banking%20Activity%20-DBA/DBA%20-%20Website%20-%20Statement%20of%20Assets%20&amp;%20Liabilities/Statement%20of%20Assets%20&amp;%20Liab%20-%20A%20Retail%20Banks/2021/A%20&amp;%20L%20-%20Category%20A%20Retail%20Banks%202007%20-%202021Q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- 2019"/>
      <sheetName val="2007 - 2014"/>
    </sheetNames>
    <sheetDataSet>
      <sheetData sheetId="0">
        <row r="7">
          <cell r="S7">
            <v>111004</v>
          </cell>
        </row>
        <row r="8">
          <cell r="S8">
            <v>4107748</v>
          </cell>
        </row>
        <row r="10">
          <cell r="S10">
            <v>38008</v>
          </cell>
        </row>
        <row r="11">
          <cell r="S11">
            <v>101351</v>
          </cell>
        </row>
        <row r="12">
          <cell r="S12">
            <v>0</v>
          </cell>
        </row>
        <row r="15">
          <cell r="S15">
            <v>2800751</v>
          </cell>
        </row>
        <row r="16">
          <cell r="S16">
            <v>1167638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2">
          <cell r="S32">
            <v>550137</v>
          </cell>
        </row>
        <row r="35">
          <cell r="S35">
            <v>55687</v>
          </cell>
        </row>
        <row r="40">
          <cell r="S40">
            <v>100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8539</v>
          </cell>
        </row>
        <row r="44">
          <cell r="S44">
            <v>0</v>
          </cell>
        </row>
        <row r="47">
          <cell r="S47">
            <v>77623</v>
          </cell>
        </row>
        <row r="50">
          <cell r="S50">
            <v>0</v>
          </cell>
        </row>
        <row r="57">
          <cell r="S57">
            <v>262785</v>
          </cell>
        </row>
        <row r="58">
          <cell r="S58">
            <v>67072</v>
          </cell>
        </row>
        <row r="60">
          <cell r="S60">
            <v>382138</v>
          </cell>
        </row>
        <row r="61">
          <cell r="S61">
            <v>136695</v>
          </cell>
        </row>
        <row r="62">
          <cell r="S62">
            <v>719613</v>
          </cell>
        </row>
        <row r="65">
          <cell r="S65">
            <v>0</v>
          </cell>
        </row>
        <row r="66">
          <cell r="S66">
            <v>21</v>
          </cell>
        </row>
        <row r="67">
          <cell r="S67">
            <v>0</v>
          </cell>
        </row>
        <row r="69">
          <cell r="S69">
            <v>3197</v>
          </cell>
        </row>
        <row r="70">
          <cell r="S70">
            <v>3993</v>
          </cell>
        </row>
        <row r="71">
          <cell r="S71">
            <v>0</v>
          </cell>
        </row>
        <row r="72">
          <cell r="S72">
            <v>30742</v>
          </cell>
        </row>
        <row r="73">
          <cell r="S73">
            <v>1184</v>
          </cell>
        </row>
        <row r="75">
          <cell r="S75">
            <v>2143193</v>
          </cell>
        </row>
        <row r="76">
          <cell r="S76">
            <v>68685</v>
          </cell>
        </row>
        <row r="77">
          <cell r="S77">
            <v>5503</v>
          </cell>
        </row>
        <row r="78">
          <cell r="S78">
            <v>261621</v>
          </cell>
        </row>
        <row r="81">
          <cell r="S81">
            <v>31676</v>
          </cell>
        </row>
        <row r="82">
          <cell r="S82">
            <v>0</v>
          </cell>
        </row>
        <row r="83">
          <cell r="S83">
            <v>82676</v>
          </cell>
        </row>
        <row r="84">
          <cell r="S84">
            <v>1139621</v>
          </cell>
        </row>
        <row r="85">
          <cell r="S85">
            <v>500409</v>
          </cell>
        </row>
        <row r="87">
          <cell r="S87">
            <v>266301</v>
          </cell>
        </row>
        <row r="88">
          <cell r="S88">
            <v>259946</v>
          </cell>
        </row>
        <row r="94">
          <cell r="S94">
            <v>8767980</v>
          </cell>
        </row>
        <row r="95">
          <cell r="S95">
            <v>3391039</v>
          </cell>
        </row>
        <row r="96">
          <cell r="S96">
            <v>12159019</v>
          </cell>
        </row>
        <row r="99">
          <cell r="S99">
            <v>31697</v>
          </cell>
        </row>
        <row r="100">
          <cell r="S100">
            <v>140098</v>
          </cell>
        </row>
        <row r="101">
          <cell r="S101">
            <v>1194560</v>
          </cell>
        </row>
        <row r="102">
          <cell r="S102">
            <v>6</v>
          </cell>
        </row>
        <row r="103">
          <cell r="S103">
            <v>128650</v>
          </cell>
        </row>
        <row r="104">
          <cell r="S104">
            <v>75327</v>
          </cell>
        </row>
        <row r="105">
          <cell r="S105">
            <v>1238500</v>
          </cell>
        </row>
        <row r="106">
          <cell r="S106">
            <v>475518</v>
          </cell>
        </row>
        <row r="109">
          <cell r="S109">
            <v>8095</v>
          </cell>
        </row>
        <row r="110">
          <cell r="S110">
            <v>7992</v>
          </cell>
        </row>
        <row r="111">
          <cell r="S111">
            <v>883671</v>
          </cell>
        </row>
        <row r="112">
          <cell r="S112">
            <v>14728</v>
          </cell>
        </row>
        <row r="113">
          <cell r="S113">
            <v>22482</v>
          </cell>
        </row>
        <row r="114">
          <cell r="S114">
            <v>5790</v>
          </cell>
        </row>
        <row r="115">
          <cell r="S115">
            <v>995258</v>
          </cell>
        </row>
        <row r="116">
          <cell r="S116">
            <v>1159418</v>
          </cell>
        </row>
        <row r="119">
          <cell r="S119">
            <v>833028</v>
          </cell>
        </row>
        <row r="120">
          <cell r="S120">
            <v>196694</v>
          </cell>
        </row>
        <row r="121">
          <cell r="S121">
            <v>325656</v>
          </cell>
        </row>
        <row r="122">
          <cell r="S122">
            <v>8049</v>
          </cell>
        </row>
        <row r="123">
          <cell r="S123">
            <v>15762</v>
          </cell>
        </row>
        <row r="124">
          <cell r="S124">
            <v>7426</v>
          </cell>
        </row>
        <row r="125">
          <cell r="S125">
            <v>382609</v>
          </cell>
        </row>
        <row r="126">
          <cell r="S126">
            <v>616966</v>
          </cell>
        </row>
        <row r="129">
          <cell r="S129">
            <v>1466379</v>
          </cell>
        </row>
        <row r="130">
          <cell r="S130">
            <v>76994</v>
          </cell>
        </row>
        <row r="131">
          <cell r="S131">
            <v>480674</v>
          </cell>
        </row>
        <row r="132">
          <cell r="S132">
            <v>699789</v>
          </cell>
        </row>
        <row r="133">
          <cell r="S133">
            <v>667203</v>
          </cell>
        </row>
        <row r="135">
          <cell r="S135">
            <v>0</v>
          </cell>
        </row>
        <row r="136">
          <cell r="S136">
            <v>261334</v>
          </cell>
        </row>
        <row r="138">
          <cell r="S138">
            <v>2159078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-2021"/>
      <sheetName val="2007-2015"/>
    </sheetNames>
    <sheetDataSet>
      <sheetData sheetId="0">
        <row r="7">
          <cell r="W7">
            <v>118.801</v>
          </cell>
        </row>
        <row r="8">
          <cell r="W8">
            <v>4019189.4303199998</v>
          </cell>
        </row>
        <row r="10">
          <cell r="W10">
            <v>7451.83</v>
          </cell>
        </row>
        <row r="11">
          <cell r="W11">
            <v>0.255</v>
          </cell>
        </row>
        <row r="12">
          <cell r="W12">
            <v>0</v>
          </cell>
        </row>
        <row r="15">
          <cell r="W15">
            <v>3833809.31226</v>
          </cell>
        </row>
        <row r="16">
          <cell r="W16">
            <v>177830.03305999999</v>
          </cell>
        </row>
        <row r="17">
          <cell r="W17">
            <v>98</v>
          </cell>
        </row>
        <row r="18">
          <cell r="W18">
            <v>0</v>
          </cell>
        </row>
        <row r="19">
          <cell r="W19">
            <v>0</v>
          </cell>
        </row>
        <row r="23">
          <cell r="W23">
            <v>0</v>
          </cell>
        </row>
        <row r="24">
          <cell r="W24">
            <v>0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0</v>
          </cell>
        </row>
        <row r="29">
          <cell r="W29">
            <v>0</v>
          </cell>
        </row>
        <row r="32">
          <cell r="W32">
            <v>1.294</v>
          </cell>
        </row>
        <row r="33">
          <cell r="W33">
            <v>0</v>
          </cell>
        </row>
        <row r="34">
          <cell r="W34">
            <v>0</v>
          </cell>
        </row>
        <row r="35">
          <cell r="W35">
            <v>0</v>
          </cell>
        </row>
        <row r="36">
          <cell r="W36">
            <v>69997.87083</v>
          </cell>
        </row>
        <row r="40">
          <cell r="W40">
            <v>0</v>
          </cell>
        </row>
        <row r="41">
          <cell r="W41">
            <v>0</v>
          </cell>
        </row>
        <row r="42">
          <cell r="W42">
            <v>0</v>
          </cell>
        </row>
        <row r="43">
          <cell r="W43">
            <v>219911.33932</v>
          </cell>
        </row>
        <row r="44">
          <cell r="W44">
            <v>0</v>
          </cell>
        </row>
        <row r="47">
          <cell r="W47">
            <v>2762.5095299999998</v>
          </cell>
        </row>
        <row r="48">
          <cell r="W48">
            <v>2084.1769899999999</v>
          </cell>
        </row>
        <row r="49">
          <cell r="W49">
            <v>9861.3039900000003</v>
          </cell>
        </row>
        <row r="50">
          <cell r="W50">
            <v>0</v>
          </cell>
        </row>
        <row r="51">
          <cell r="W51">
            <v>0</v>
          </cell>
        </row>
        <row r="57">
          <cell r="W57">
            <v>0</v>
          </cell>
        </row>
        <row r="58">
          <cell r="W58">
            <v>0</v>
          </cell>
        </row>
        <row r="60">
          <cell r="W60">
            <v>0</v>
          </cell>
        </row>
        <row r="61">
          <cell r="W61">
            <v>0</v>
          </cell>
        </row>
        <row r="62">
          <cell r="W62">
            <v>0</v>
          </cell>
        </row>
        <row r="65">
          <cell r="W65">
            <v>0</v>
          </cell>
        </row>
        <row r="66">
          <cell r="W66">
            <v>0</v>
          </cell>
        </row>
        <row r="67">
          <cell r="W67">
            <v>0</v>
          </cell>
        </row>
        <row r="69">
          <cell r="W69">
            <v>0</v>
          </cell>
        </row>
        <row r="70">
          <cell r="W70">
            <v>0</v>
          </cell>
        </row>
        <row r="71">
          <cell r="W71">
            <v>0</v>
          </cell>
        </row>
        <row r="72">
          <cell r="W72">
            <v>258781.46234999999</v>
          </cell>
        </row>
        <row r="73">
          <cell r="W73">
            <v>0</v>
          </cell>
        </row>
        <row r="75">
          <cell r="W75">
            <v>0</v>
          </cell>
        </row>
        <row r="76">
          <cell r="W76">
            <v>0</v>
          </cell>
        </row>
        <row r="77">
          <cell r="W77">
            <v>0</v>
          </cell>
        </row>
        <row r="78">
          <cell r="W78">
            <v>0</v>
          </cell>
        </row>
        <row r="81">
          <cell r="W81">
            <v>0</v>
          </cell>
        </row>
        <row r="82">
          <cell r="W82">
            <v>0</v>
          </cell>
        </row>
        <row r="83">
          <cell r="W83">
            <v>94165.467130000005</v>
          </cell>
        </row>
        <row r="84">
          <cell r="W84">
            <v>0</v>
          </cell>
        </row>
        <row r="85">
          <cell r="W85">
            <v>0</v>
          </cell>
        </row>
        <row r="87">
          <cell r="W87">
            <v>9769.9557199999999</v>
          </cell>
        </row>
        <row r="88">
          <cell r="W88">
            <v>160835.55304</v>
          </cell>
        </row>
        <row r="94">
          <cell r="W94">
            <v>3204423.7022399995</v>
          </cell>
        </row>
        <row r="95">
          <cell r="W95">
            <v>670624.48914999992</v>
          </cell>
        </row>
        <row r="96">
          <cell r="W96">
            <v>3875048.1913899994</v>
          </cell>
        </row>
        <row r="99">
          <cell r="W99">
            <v>0</v>
          </cell>
        </row>
        <row r="100">
          <cell r="W100">
            <v>0</v>
          </cell>
        </row>
        <row r="101">
          <cell r="W101">
            <v>0</v>
          </cell>
        </row>
        <row r="102">
          <cell r="W102">
            <v>0</v>
          </cell>
        </row>
        <row r="103">
          <cell r="W103">
            <v>0</v>
          </cell>
        </row>
        <row r="104">
          <cell r="W104">
            <v>204.05742000000001</v>
          </cell>
        </row>
        <row r="105">
          <cell r="W105">
            <v>215731.77835000001</v>
          </cell>
        </row>
        <row r="106">
          <cell r="W106">
            <v>0</v>
          </cell>
        </row>
        <row r="109">
          <cell r="W109">
            <v>0</v>
          </cell>
        </row>
        <row r="110">
          <cell r="W110">
            <v>0</v>
          </cell>
        </row>
        <row r="111">
          <cell r="W111">
            <v>0</v>
          </cell>
        </row>
        <row r="112">
          <cell r="W112">
            <v>0</v>
          </cell>
        </row>
        <row r="113">
          <cell r="W113">
            <v>0</v>
          </cell>
        </row>
        <row r="114">
          <cell r="W114">
            <v>0</v>
          </cell>
        </row>
        <row r="115">
          <cell r="W115">
            <v>2988487.8664699998</v>
          </cell>
        </row>
        <row r="116">
          <cell r="W116">
            <v>0</v>
          </cell>
        </row>
        <row r="119">
          <cell r="W119">
            <v>0</v>
          </cell>
        </row>
        <row r="120">
          <cell r="W120">
            <v>0</v>
          </cell>
        </row>
        <row r="121">
          <cell r="W121">
            <v>0</v>
          </cell>
        </row>
        <row r="122">
          <cell r="W122">
            <v>0</v>
          </cell>
        </row>
        <row r="123">
          <cell r="W123">
            <v>0</v>
          </cell>
        </row>
        <row r="124">
          <cell r="W124">
            <v>0</v>
          </cell>
        </row>
        <row r="125">
          <cell r="W125">
            <v>0</v>
          </cell>
        </row>
        <row r="126">
          <cell r="W126">
            <v>0</v>
          </cell>
        </row>
        <row r="129">
          <cell r="W129">
            <v>0</v>
          </cell>
        </row>
        <row r="130">
          <cell r="W130">
            <v>0</v>
          </cell>
        </row>
        <row r="131">
          <cell r="W131">
            <v>670482.75257999997</v>
          </cell>
        </row>
        <row r="132">
          <cell r="W132">
            <v>0</v>
          </cell>
        </row>
        <row r="133">
          <cell r="W133">
            <v>141.73657</v>
          </cell>
        </row>
        <row r="135">
          <cell r="W135">
            <v>890.04376999999999</v>
          </cell>
        </row>
        <row r="136">
          <cell r="W136">
            <v>255459.20958999998</v>
          </cell>
        </row>
        <row r="138">
          <cell r="W138">
            <v>716081.71995000006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 - 2021"/>
      <sheetName val="2007 - 2015"/>
    </sheetNames>
    <sheetDataSet>
      <sheetData sheetId="0">
        <row r="7">
          <cell r="X7">
            <v>83798.491519999996</v>
          </cell>
        </row>
        <row r="8">
          <cell r="X8">
            <v>5299904.0544700008</v>
          </cell>
        </row>
        <row r="10">
          <cell r="X10">
            <v>88963.964460000003</v>
          </cell>
        </row>
        <row r="11">
          <cell r="X11">
            <v>27251.392</v>
          </cell>
        </row>
        <row r="12">
          <cell r="X12">
            <v>0</v>
          </cell>
        </row>
        <row r="15">
          <cell r="X15">
            <v>3514280.6398900002</v>
          </cell>
        </row>
        <row r="16">
          <cell r="X16">
            <v>1668118.02712</v>
          </cell>
        </row>
        <row r="17">
          <cell r="X17">
            <v>1290.0309999999999</v>
          </cell>
        </row>
        <row r="18">
          <cell r="X18">
            <v>0</v>
          </cell>
        </row>
        <row r="19">
          <cell r="X19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2">
          <cell r="X32">
            <v>616842.76300000004</v>
          </cell>
        </row>
        <row r="33">
          <cell r="X33">
            <v>204427.56779</v>
          </cell>
        </row>
        <row r="34">
          <cell r="X34">
            <v>253155.53638999999</v>
          </cell>
        </row>
        <row r="35">
          <cell r="X35">
            <v>41421.290209999999</v>
          </cell>
        </row>
        <row r="36">
          <cell r="X36">
            <v>3442682.6329899998</v>
          </cell>
        </row>
        <row r="40">
          <cell r="X40">
            <v>100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17490.103429999999</v>
          </cell>
        </row>
        <row r="44">
          <cell r="X44">
            <v>0</v>
          </cell>
        </row>
        <row r="47">
          <cell r="X47">
            <v>77623</v>
          </cell>
        </row>
        <row r="48">
          <cell r="X48">
            <v>0</v>
          </cell>
        </row>
        <row r="49">
          <cell r="X49">
            <v>18.09188</v>
          </cell>
        </row>
        <row r="50">
          <cell r="X50">
            <v>0</v>
          </cell>
        </row>
        <row r="51">
          <cell r="X51">
            <v>0</v>
          </cell>
        </row>
        <row r="57">
          <cell r="X57">
            <v>222705.81</v>
          </cell>
        </row>
        <row r="58">
          <cell r="X58">
            <v>42314.561999999998</v>
          </cell>
        </row>
        <row r="60">
          <cell r="X60">
            <v>272289.45166000002</v>
          </cell>
        </row>
        <row r="61">
          <cell r="X61">
            <v>154506.55016000001</v>
          </cell>
        </row>
        <row r="62">
          <cell r="X62">
            <v>873318.80192999996</v>
          </cell>
        </row>
        <row r="65">
          <cell r="X65">
            <v>0</v>
          </cell>
        </row>
        <row r="66">
          <cell r="X66">
            <v>0.75631000000000004</v>
          </cell>
        </row>
        <row r="67">
          <cell r="X67">
            <v>0</v>
          </cell>
        </row>
        <row r="69">
          <cell r="X69">
            <v>2916.66336</v>
          </cell>
        </row>
        <row r="70">
          <cell r="X70">
            <v>1668.1379999999999</v>
          </cell>
        </row>
        <row r="71">
          <cell r="X71">
            <v>0</v>
          </cell>
        </row>
        <row r="72">
          <cell r="X72">
            <v>10747.97013</v>
          </cell>
        </row>
        <row r="73">
          <cell r="X73">
            <v>3378.3187600000001</v>
          </cell>
        </row>
        <row r="75">
          <cell r="X75">
            <v>2350969.7376000001</v>
          </cell>
        </row>
        <row r="76">
          <cell r="X76">
            <v>68877.054220000005</v>
          </cell>
        </row>
        <row r="77">
          <cell r="X77">
            <v>4519.9509600000001</v>
          </cell>
        </row>
        <row r="78">
          <cell r="X78">
            <v>244812.03023999999</v>
          </cell>
        </row>
        <row r="81">
          <cell r="X81">
            <v>35911.846669999999</v>
          </cell>
        </row>
        <row r="82">
          <cell r="X82">
            <v>0.22600000000000001</v>
          </cell>
        </row>
        <row r="83">
          <cell r="X83">
            <v>54406.371720000003</v>
          </cell>
        </row>
        <row r="84">
          <cell r="X84">
            <v>680504.92854999995</v>
          </cell>
        </row>
        <row r="85">
          <cell r="X85">
            <v>531591.05579999997</v>
          </cell>
        </row>
        <row r="87">
          <cell r="X87">
            <v>204612.67227000001</v>
          </cell>
        </row>
        <row r="88">
          <cell r="X88">
            <v>153485.82728</v>
          </cell>
        </row>
        <row r="94">
          <cell r="X94">
            <v>10478234.521599999</v>
          </cell>
        </row>
        <row r="95">
          <cell r="X95">
            <v>3330891.8584400001</v>
          </cell>
        </row>
        <row r="96">
          <cell r="X96">
            <v>13809126.380039999</v>
          </cell>
        </row>
        <row r="99">
          <cell r="X99">
            <v>31314.808059999999</v>
          </cell>
        </row>
        <row r="100">
          <cell r="X100">
            <v>155455.81946999999</v>
          </cell>
        </row>
        <row r="101">
          <cell r="X101">
            <v>1625196.8439100001</v>
          </cell>
        </row>
        <row r="102">
          <cell r="X102">
            <v>2940</v>
          </cell>
        </row>
        <row r="103">
          <cell r="X103">
            <v>51414.119449999998</v>
          </cell>
        </row>
        <row r="104">
          <cell r="X104">
            <v>58532.012260000003</v>
          </cell>
        </row>
        <row r="105">
          <cell r="X105">
            <v>1778814.8099</v>
          </cell>
        </row>
        <row r="106">
          <cell r="X106">
            <v>561444.31114999996</v>
          </cell>
        </row>
        <row r="109">
          <cell r="X109">
            <v>734.16966000000002</v>
          </cell>
        </row>
        <row r="110">
          <cell r="X110">
            <v>19983.829089999999</v>
          </cell>
        </row>
        <row r="111">
          <cell r="X111">
            <v>1024192.69825</v>
          </cell>
        </row>
        <row r="112">
          <cell r="X112">
            <v>13890.849</v>
          </cell>
        </row>
        <row r="113">
          <cell r="X113">
            <v>60143.548600000002</v>
          </cell>
        </row>
        <row r="114">
          <cell r="X114">
            <v>4211.3227299999999</v>
          </cell>
        </row>
        <row r="115">
          <cell r="X115">
            <v>1462577.56797</v>
          </cell>
        </row>
        <row r="116">
          <cell r="X116">
            <v>1534685.0064399999</v>
          </cell>
        </row>
        <row r="119">
          <cell r="X119">
            <v>657595.22710999998</v>
          </cell>
        </row>
        <row r="120">
          <cell r="X120">
            <v>134291.16677000001</v>
          </cell>
        </row>
        <row r="121">
          <cell r="X121">
            <v>466426.15239</v>
          </cell>
        </row>
        <row r="122">
          <cell r="X122">
            <v>8104.6459999999997</v>
          </cell>
        </row>
        <row r="123">
          <cell r="X123">
            <v>16135.185590000001</v>
          </cell>
        </row>
        <row r="124">
          <cell r="X124">
            <v>8648.9511299999995</v>
          </cell>
        </row>
        <row r="125">
          <cell r="X125">
            <v>284276.79618</v>
          </cell>
        </row>
        <row r="126">
          <cell r="X126">
            <v>517224.68049</v>
          </cell>
        </row>
        <row r="129">
          <cell r="X129">
            <v>1320239.79926</v>
          </cell>
        </row>
        <row r="130">
          <cell r="X130">
            <v>67380.277929999997</v>
          </cell>
        </row>
        <row r="131">
          <cell r="X131">
            <v>589521.95369999995</v>
          </cell>
        </row>
        <row r="132">
          <cell r="X132">
            <v>670011.63584999996</v>
          </cell>
        </row>
        <row r="133">
          <cell r="X133">
            <v>683738.19169999997</v>
          </cell>
        </row>
        <row r="135">
          <cell r="X135">
            <v>0</v>
          </cell>
        </row>
        <row r="136">
          <cell r="X136">
            <v>269343.01883000002</v>
          </cell>
        </row>
        <row r="138">
          <cell r="X138">
            <v>1872532.8564300002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-2021"/>
      <sheetName val="2007-2015"/>
    </sheetNames>
    <sheetDataSet>
      <sheetData sheetId="0">
        <row r="7">
          <cell r="X7">
            <v>118.04976000000001</v>
          </cell>
        </row>
        <row r="8">
          <cell r="X8">
            <v>4649194.9504500004</v>
          </cell>
        </row>
        <row r="10">
          <cell r="X10">
            <v>6229.9462999999996</v>
          </cell>
        </row>
        <row r="11">
          <cell r="X11">
            <v>0.255</v>
          </cell>
        </row>
        <row r="12">
          <cell r="X12">
            <v>0</v>
          </cell>
        </row>
        <row r="15">
          <cell r="X15">
            <v>4519020.3692100001</v>
          </cell>
        </row>
        <row r="16">
          <cell r="X16">
            <v>123840.37994</v>
          </cell>
        </row>
        <row r="17">
          <cell r="X17">
            <v>104</v>
          </cell>
        </row>
        <row r="18">
          <cell r="X18">
            <v>0</v>
          </cell>
        </row>
        <row r="19">
          <cell r="X19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2">
          <cell r="X32">
            <v>1.294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69991.318060000005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156894.58389000001</v>
          </cell>
        </row>
        <row r="44">
          <cell r="X44">
            <v>0</v>
          </cell>
        </row>
        <row r="47">
          <cell r="X47">
            <v>2929.3847000000001</v>
          </cell>
        </row>
        <row r="48">
          <cell r="X48">
            <v>3549.4617699999999</v>
          </cell>
        </row>
        <row r="49">
          <cell r="X49">
            <v>6767.4874099999997</v>
          </cell>
        </row>
        <row r="50">
          <cell r="X50">
            <v>0</v>
          </cell>
        </row>
        <row r="51">
          <cell r="X51">
            <v>0</v>
          </cell>
        </row>
        <row r="57">
          <cell r="X57">
            <v>0</v>
          </cell>
        </row>
        <row r="58">
          <cell r="X58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592679.93581000005</v>
          </cell>
        </row>
        <row r="73">
          <cell r="X73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122545.11497</v>
          </cell>
        </row>
        <row r="84">
          <cell r="X84">
            <v>0</v>
          </cell>
        </row>
        <row r="85">
          <cell r="X85">
            <v>0</v>
          </cell>
        </row>
        <row r="87">
          <cell r="X87">
            <v>9748.1374599999999</v>
          </cell>
        </row>
        <row r="88">
          <cell r="X88">
            <v>162585.65818999999</v>
          </cell>
        </row>
        <row r="94">
          <cell r="X94">
            <v>4332187.3550500004</v>
          </cell>
        </row>
        <row r="95">
          <cell r="X95">
            <v>532301.49635999999</v>
          </cell>
        </row>
        <row r="96">
          <cell r="X96">
            <v>4864488.8514100006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197.37988000000001</v>
          </cell>
        </row>
        <row r="105">
          <cell r="X105">
            <v>238112.26154000001</v>
          </cell>
        </row>
        <row r="106">
          <cell r="X106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4093877.7136300001</v>
          </cell>
        </row>
        <row r="116">
          <cell r="X116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9">
          <cell r="X129">
            <v>0</v>
          </cell>
        </row>
        <row r="130">
          <cell r="X130">
            <v>98.984160000000003</v>
          </cell>
        </row>
        <row r="131">
          <cell r="X131">
            <v>532202.5122</v>
          </cell>
        </row>
        <row r="132">
          <cell r="X132">
            <v>0</v>
          </cell>
        </row>
        <row r="133">
          <cell r="X133">
            <v>0</v>
          </cell>
        </row>
        <row r="135">
          <cell r="X135">
            <v>490.00540000000001</v>
          </cell>
        </row>
        <row r="136">
          <cell r="X136">
            <v>186516.81636</v>
          </cell>
        </row>
        <row r="138">
          <cell r="X138">
            <v>725509.44830000005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 - 2021"/>
      <sheetName val="2007 - 2015"/>
    </sheetNames>
    <sheetDataSet>
      <sheetData sheetId="0">
        <row r="7">
          <cell r="Y7">
            <v>78514.232730000003</v>
          </cell>
        </row>
        <row r="8">
          <cell r="Y8">
            <v>4500151.4103399999</v>
          </cell>
        </row>
        <row r="10">
          <cell r="Y10">
            <v>44512.139730000003</v>
          </cell>
        </row>
        <row r="11">
          <cell r="Y11">
            <v>29808.771000000001</v>
          </cell>
        </row>
        <row r="12">
          <cell r="Y12">
            <v>0</v>
          </cell>
        </row>
        <row r="15">
          <cell r="Y15">
            <v>3053995.0058900001</v>
          </cell>
        </row>
        <row r="16">
          <cell r="Y16">
            <v>1369472.5687200001</v>
          </cell>
        </row>
        <row r="17">
          <cell r="Y17">
            <v>2362.9250000000002</v>
          </cell>
        </row>
        <row r="18">
          <cell r="Y18">
            <v>0</v>
          </cell>
        </row>
        <row r="19">
          <cell r="Y19">
            <v>0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0</v>
          </cell>
        </row>
        <row r="29">
          <cell r="Y29">
            <v>0</v>
          </cell>
        </row>
        <row r="32">
          <cell r="Y32">
            <v>597343.28300000005</v>
          </cell>
        </row>
        <row r="33">
          <cell r="Y33">
            <v>192951.09202000001</v>
          </cell>
        </row>
        <row r="34">
          <cell r="Y34">
            <v>320898.82218999998</v>
          </cell>
        </row>
        <row r="35">
          <cell r="Y35">
            <v>98369.020220000006</v>
          </cell>
        </row>
        <row r="36">
          <cell r="Y36">
            <v>3634443.52152</v>
          </cell>
        </row>
        <row r="40">
          <cell r="Y40">
            <v>100</v>
          </cell>
        </row>
        <row r="41">
          <cell r="Y41">
            <v>0</v>
          </cell>
        </row>
        <row r="42">
          <cell r="Y42">
            <v>0</v>
          </cell>
        </row>
        <row r="43">
          <cell r="Y43">
            <v>17356.69843</v>
          </cell>
        </row>
        <row r="44">
          <cell r="Y44">
            <v>0</v>
          </cell>
        </row>
        <row r="47">
          <cell r="Y47">
            <v>77623</v>
          </cell>
        </row>
        <row r="48">
          <cell r="Y48">
            <v>0</v>
          </cell>
        </row>
        <row r="49">
          <cell r="Y49">
            <v>17.272639999999999</v>
          </cell>
        </row>
        <row r="50">
          <cell r="Y50">
            <v>0</v>
          </cell>
        </row>
        <row r="51">
          <cell r="Y51">
            <v>0</v>
          </cell>
        </row>
        <row r="57">
          <cell r="Y57">
            <v>215265.8235</v>
          </cell>
        </row>
        <row r="58">
          <cell r="Y58">
            <v>41526.963199999998</v>
          </cell>
        </row>
        <row r="60">
          <cell r="Y60">
            <v>243251.31297999999</v>
          </cell>
        </row>
        <row r="61">
          <cell r="Y61">
            <v>145321.57219000001</v>
          </cell>
        </row>
        <row r="62">
          <cell r="Y62">
            <v>951616.22302000003</v>
          </cell>
        </row>
        <row r="65">
          <cell r="Y65">
            <v>0</v>
          </cell>
        </row>
        <row r="66">
          <cell r="Y66">
            <v>0.75988</v>
          </cell>
        </row>
        <row r="67">
          <cell r="Y67">
            <v>0</v>
          </cell>
        </row>
        <row r="69">
          <cell r="Y69">
            <v>4530.1396000000004</v>
          </cell>
        </row>
        <row r="70">
          <cell r="Y70">
            <v>1633.9359999999999</v>
          </cell>
        </row>
        <row r="71">
          <cell r="Y71">
            <v>0</v>
          </cell>
        </row>
        <row r="72">
          <cell r="Y72">
            <v>17427.001690000001</v>
          </cell>
        </row>
        <row r="73">
          <cell r="Y73">
            <v>3438.3403899999998</v>
          </cell>
        </row>
        <row r="75">
          <cell r="Y75">
            <v>2420346.3556400002</v>
          </cell>
        </row>
        <row r="76">
          <cell r="Y76">
            <v>71089.593070000003</v>
          </cell>
        </row>
        <row r="77">
          <cell r="Y77">
            <v>4186.85743</v>
          </cell>
        </row>
        <row r="78">
          <cell r="Y78">
            <v>260542.32915000001</v>
          </cell>
        </row>
        <row r="81">
          <cell r="Y81">
            <v>33688.75</v>
          </cell>
        </row>
        <row r="82">
          <cell r="Y82">
            <v>0</v>
          </cell>
        </row>
        <row r="83">
          <cell r="Y83">
            <v>80117.494919999997</v>
          </cell>
        </row>
        <row r="84">
          <cell r="Y84">
            <v>677296.88437999994</v>
          </cell>
        </row>
        <row r="85">
          <cell r="Y85">
            <v>529216.82169000001</v>
          </cell>
        </row>
        <row r="87">
          <cell r="Y87">
            <v>193645.16583000001</v>
          </cell>
        </row>
        <row r="88">
          <cell r="Y88">
            <v>181604.53409999999</v>
          </cell>
        </row>
        <row r="94">
          <cell r="Y94">
            <v>9933671.9444899987</v>
          </cell>
        </row>
        <row r="95">
          <cell r="Y95">
            <v>3525458.5128100002</v>
          </cell>
        </row>
        <row r="96">
          <cell r="Y96">
            <v>13459130.4573</v>
          </cell>
        </row>
        <row r="99">
          <cell r="Y99">
            <v>45966.815329999998</v>
          </cell>
        </row>
        <row r="100">
          <cell r="Y100">
            <v>134331.8432</v>
          </cell>
        </row>
        <row r="101">
          <cell r="Y101">
            <v>1706838.4327100001</v>
          </cell>
        </row>
        <row r="102">
          <cell r="Y102">
            <v>5.8869999999999996</v>
          </cell>
        </row>
        <row r="103">
          <cell r="Y103">
            <v>47658.737550000005</v>
          </cell>
        </row>
        <row r="104">
          <cell r="Y104">
            <v>60057.723539999999</v>
          </cell>
        </row>
        <row r="105">
          <cell r="Y105">
            <v>1449716.4084099999</v>
          </cell>
        </row>
        <row r="106">
          <cell r="Y106">
            <v>593377.83242999995</v>
          </cell>
        </row>
        <row r="109">
          <cell r="Y109">
            <v>869.27436</v>
          </cell>
        </row>
        <row r="110">
          <cell r="Y110">
            <v>10234.45664</v>
          </cell>
        </row>
        <row r="111">
          <cell r="Y111">
            <v>963355.52275999996</v>
          </cell>
        </row>
        <row r="112">
          <cell r="Y112">
            <v>11480.579</v>
          </cell>
        </row>
        <row r="113">
          <cell r="Y113">
            <v>46158.733189999999</v>
          </cell>
        </row>
        <row r="114">
          <cell r="Y114">
            <v>3515.2684800000002</v>
          </cell>
        </row>
        <row r="115">
          <cell r="Y115">
            <v>1324661.7132699999</v>
          </cell>
        </row>
        <row r="116">
          <cell r="Y116">
            <v>1552188.1747300001</v>
          </cell>
        </row>
        <row r="119">
          <cell r="Y119">
            <v>564663.39925999998</v>
          </cell>
        </row>
        <row r="120">
          <cell r="Y120">
            <v>158726.48365000001</v>
          </cell>
        </row>
        <row r="121">
          <cell r="Y121">
            <v>404288.38173000002</v>
          </cell>
        </row>
        <row r="122">
          <cell r="Y122">
            <v>8112.1229999999996</v>
          </cell>
        </row>
        <row r="123">
          <cell r="Y123">
            <v>14129.12347</v>
          </cell>
        </row>
        <row r="124">
          <cell r="Y124">
            <v>8841.9408199999998</v>
          </cell>
        </row>
        <row r="125">
          <cell r="Y125">
            <v>310836.69998999999</v>
          </cell>
        </row>
        <row r="126">
          <cell r="Y126">
            <v>513656.38997000002</v>
          </cell>
        </row>
        <row r="129">
          <cell r="Y129">
            <v>1338642.1513100001</v>
          </cell>
        </row>
        <row r="130">
          <cell r="Y130">
            <v>64243.924749999998</v>
          </cell>
        </row>
        <row r="131">
          <cell r="Y131">
            <v>656739.40706999996</v>
          </cell>
        </row>
        <row r="132">
          <cell r="Y132">
            <v>750659.86728999997</v>
          </cell>
        </row>
        <row r="133">
          <cell r="Y133">
            <v>715173.16238999995</v>
          </cell>
        </row>
        <row r="135">
          <cell r="Y135">
            <v>486.59399999999999</v>
          </cell>
        </row>
        <row r="136">
          <cell r="Y136">
            <v>247988.32261</v>
          </cell>
        </row>
        <row r="138">
          <cell r="Y138">
            <v>1885909.8378400002</v>
          </cell>
        </row>
      </sheetData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-2021"/>
      <sheetName val="2007-2015"/>
    </sheetNames>
    <sheetDataSet>
      <sheetData sheetId="0">
        <row r="7">
          <cell r="Y7">
            <v>118.04976000000001</v>
          </cell>
        </row>
        <row r="8">
          <cell r="Y8">
            <v>5530822.4994800007</v>
          </cell>
        </row>
        <row r="10">
          <cell r="Y10">
            <v>8990.0505200000007</v>
          </cell>
        </row>
        <row r="11">
          <cell r="Y11">
            <v>0</v>
          </cell>
        </row>
        <row r="12">
          <cell r="Y12">
            <v>0</v>
          </cell>
        </row>
        <row r="15">
          <cell r="Y15">
            <v>3640152.8640100001</v>
          </cell>
        </row>
        <row r="16">
          <cell r="Y16">
            <v>1881570.6473399999</v>
          </cell>
        </row>
        <row r="17">
          <cell r="Y17">
            <v>108.93761000000001</v>
          </cell>
        </row>
        <row r="18">
          <cell r="Y18">
            <v>0</v>
          </cell>
        </row>
        <row r="19">
          <cell r="Y19">
            <v>0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0</v>
          </cell>
        </row>
        <row r="29">
          <cell r="Y29">
            <v>0</v>
          </cell>
        </row>
        <row r="32">
          <cell r="Y32">
            <v>1.294</v>
          </cell>
        </row>
        <row r="33">
          <cell r="Y33">
            <v>0</v>
          </cell>
        </row>
        <row r="34">
          <cell r="Y34">
            <v>0</v>
          </cell>
        </row>
        <row r="35">
          <cell r="Y35">
            <v>0</v>
          </cell>
        </row>
        <row r="36">
          <cell r="Y36">
            <v>69999.83958</v>
          </cell>
        </row>
        <row r="40">
          <cell r="Y40">
            <v>0</v>
          </cell>
        </row>
        <row r="41">
          <cell r="Y41">
            <v>0</v>
          </cell>
        </row>
        <row r="42">
          <cell r="Y42">
            <v>0</v>
          </cell>
        </row>
        <row r="43">
          <cell r="Y43">
            <v>139469.18119</v>
          </cell>
        </row>
        <row r="44">
          <cell r="Y44">
            <v>0</v>
          </cell>
        </row>
        <row r="47">
          <cell r="Y47">
            <v>6996.43559</v>
          </cell>
        </row>
        <row r="48">
          <cell r="Y48">
            <v>6594.4123099999997</v>
          </cell>
        </row>
        <row r="49">
          <cell r="Y49">
            <v>8829.9673000000003</v>
          </cell>
        </row>
        <row r="50">
          <cell r="Y50">
            <v>0</v>
          </cell>
        </row>
        <row r="51">
          <cell r="Y51">
            <v>0</v>
          </cell>
        </row>
        <row r="57">
          <cell r="Y57">
            <v>0</v>
          </cell>
        </row>
        <row r="58">
          <cell r="Y58">
            <v>0</v>
          </cell>
        </row>
        <row r="60">
          <cell r="Y60">
            <v>0</v>
          </cell>
        </row>
        <row r="61">
          <cell r="Y61">
            <v>0</v>
          </cell>
        </row>
        <row r="62">
          <cell r="Y62">
            <v>0</v>
          </cell>
        </row>
        <row r="65">
          <cell r="Y65">
            <v>0</v>
          </cell>
        </row>
        <row r="66">
          <cell r="Y66">
            <v>0</v>
          </cell>
        </row>
        <row r="67">
          <cell r="Y67">
            <v>0</v>
          </cell>
        </row>
        <row r="69">
          <cell r="Y69">
            <v>0</v>
          </cell>
        </row>
        <row r="70">
          <cell r="Y70">
            <v>0</v>
          </cell>
        </row>
        <row r="71">
          <cell r="Y71">
            <v>0</v>
          </cell>
        </row>
        <row r="72">
          <cell r="Y72">
            <v>481267.33162000001</v>
          </cell>
        </row>
        <row r="73">
          <cell r="Y73">
            <v>0</v>
          </cell>
        </row>
        <row r="75">
          <cell r="Y75">
            <v>0</v>
          </cell>
        </row>
        <row r="76">
          <cell r="Y76">
            <v>0</v>
          </cell>
        </row>
        <row r="77">
          <cell r="Y77">
            <v>0</v>
          </cell>
        </row>
        <row r="78">
          <cell r="Y78">
            <v>0</v>
          </cell>
        </row>
        <row r="81">
          <cell r="Y81">
            <v>0</v>
          </cell>
        </row>
        <row r="82">
          <cell r="Y82">
            <v>0</v>
          </cell>
        </row>
        <row r="83">
          <cell r="Y83">
            <v>95652.41042</v>
          </cell>
        </row>
        <row r="84">
          <cell r="Y84">
            <v>0</v>
          </cell>
        </row>
        <row r="85">
          <cell r="Y85">
            <v>0</v>
          </cell>
        </row>
        <row r="87">
          <cell r="Y87">
            <v>9404.6740100000006</v>
          </cell>
        </row>
        <row r="88">
          <cell r="Y88">
            <v>165723.23227000001</v>
          </cell>
        </row>
        <row r="94">
          <cell r="Y94">
            <v>4562892.4545799997</v>
          </cell>
        </row>
        <row r="95">
          <cell r="Y95">
            <v>740210.24819000007</v>
          </cell>
        </row>
        <row r="96">
          <cell r="Y96">
            <v>5303102.7027699994</v>
          </cell>
        </row>
        <row r="99">
          <cell r="Y99">
            <v>0</v>
          </cell>
        </row>
        <row r="100">
          <cell r="Y100">
            <v>0</v>
          </cell>
        </row>
        <row r="101">
          <cell r="Y101">
            <v>0</v>
          </cell>
        </row>
        <row r="102">
          <cell r="Y102">
            <v>0</v>
          </cell>
        </row>
        <row r="103">
          <cell r="Y103">
            <v>0</v>
          </cell>
        </row>
        <row r="104">
          <cell r="Y104">
            <v>191.81707</v>
          </cell>
        </row>
        <row r="105">
          <cell r="Y105">
            <v>260835.96401</v>
          </cell>
        </row>
        <row r="106">
          <cell r="Y106">
            <v>0</v>
          </cell>
        </row>
        <row r="109">
          <cell r="Y109">
            <v>0</v>
          </cell>
        </row>
        <row r="110">
          <cell r="Y110">
            <v>0</v>
          </cell>
        </row>
        <row r="111">
          <cell r="Y111">
            <v>0</v>
          </cell>
        </row>
        <row r="112">
          <cell r="Y112">
            <v>0</v>
          </cell>
        </row>
        <row r="113">
          <cell r="Y113">
            <v>0</v>
          </cell>
        </row>
        <row r="114">
          <cell r="Y114">
            <v>0</v>
          </cell>
        </row>
        <row r="115">
          <cell r="Y115">
            <v>4301864.6734999996</v>
          </cell>
        </row>
        <row r="116">
          <cell r="Y116">
            <v>0</v>
          </cell>
        </row>
        <row r="119">
          <cell r="Y119">
            <v>0</v>
          </cell>
        </row>
        <row r="120">
          <cell r="Y120">
            <v>0</v>
          </cell>
        </row>
        <row r="121">
          <cell r="Y121">
            <v>0</v>
          </cell>
        </row>
        <row r="122">
          <cell r="Y122">
            <v>0</v>
          </cell>
        </row>
        <row r="123">
          <cell r="Y123">
            <v>0</v>
          </cell>
        </row>
        <row r="124">
          <cell r="Y124">
            <v>0</v>
          </cell>
        </row>
        <row r="125">
          <cell r="Y125">
            <v>0</v>
          </cell>
        </row>
        <row r="126">
          <cell r="Y126">
            <v>0</v>
          </cell>
        </row>
        <row r="129">
          <cell r="Y129">
            <v>0</v>
          </cell>
        </row>
        <row r="130">
          <cell r="Y130">
            <v>84.965909999999994</v>
          </cell>
        </row>
        <row r="131">
          <cell r="Y131">
            <v>740125.28228000004</v>
          </cell>
        </row>
        <row r="132">
          <cell r="Y132">
            <v>0</v>
          </cell>
        </row>
        <row r="133">
          <cell r="Y133">
            <v>0</v>
          </cell>
        </row>
        <row r="135">
          <cell r="Y135">
            <v>291663.67838</v>
          </cell>
        </row>
        <row r="136">
          <cell r="Y136">
            <v>174237.99758999998</v>
          </cell>
        </row>
        <row r="138">
          <cell r="Y138">
            <v>745874.94879000005</v>
          </cell>
        </row>
      </sheetData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 - 2021"/>
      <sheetName val="2007 - 2015"/>
    </sheetNames>
    <sheetDataSet>
      <sheetData sheetId="0">
        <row r="7">
          <cell r="Z7">
            <v>84079.354749999999</v>
          </cell>
        </row>
        <row r="8">
          <cell r="Z8">
            <v>4267101.6944900006</v>
          </cell>
        </row>
        <row r="10">
          <cell r="Z10">
            <v>59982.153469999997</v>
          </cell>
        </row>
        <row r="11">
          <cell r="Z11">
            <v>70158.061000000002</v>
          </cell>
        </row>
        <row r="12">
          <cell r="Z12">
            <v>0</v>
          </cell>
        </row>
        <row r="15">
          <cell r="Z15">
            <v>2695682.3613900002</v>
          </cell>
        </row>
        <row r="16">
          <cell r="Z16">
            <v>1439107.30363</v>
          </cell>
        </row>
        <row r="17">
          <cell r="Z17">
            <v>2171.8150000000001</v>
          </cell>
        </row>
        <row r="18">
          <cell r="Z18">
            <v>0</v>
          </cell>
        </row>
        <row r="19">
          <cell r="Z19">
            <v>0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0</v>
          </cell>
        </row>
        <row r="29">
          <cell r="Z29">
            <v>0</v>
          </cell>
        </row>
        <row r="32">
          <cell r="Z32">
            <v>603766.76800000004</v>
          </cell>
        </row>
        <row r="33">
          <cell r="Z33">
            <v>188115.02106</v>
          </cell>
        </row>
        <row r="34">
          <cell r="Z34">
            <v>338162.70405</v>
          </cell>
        </row>
        <row r="35">
          <cell r="Z35">
            <v>103270.92507</v>
          </cell>
        </row>
        <row r="36">
          <cell r="Z36">
            <v>3716776.0413099998</v>
          </cell>
        </row>
        <row r="40">
          <cell r="Z40">
            <v>100</v>
          </cell>
        </row>
        <row r="41">
          <cell r="Z41">
            <v>0</v>
          </cell>
        </row>
        <row r="42">
          <cell r="Z42">
            <v>0</v>
          </cell>
        </row>
        <row r="43">
          <cell r="Z43">
            <v>16919.872429999999</v>
          </cell>
        </row>
        <row r="44">
          <cell r="Z44">
            <v>0</v>
          </cell>
        </row>
        <row r="47">
          <cell r="Z47">
            <v>77623</v>
          </cell>
        </row>
        <row r="48">
          <cell r="Z48">
            <v>0</v>
          </cell>
        </row>
        <row r="49">
          <cell r="Z49">
            <v>17.272639999999999</v>
          </cell>
        </row>
        <row r="50">
          <cell r="Z50">
            <v>0</v>
          </cell>
        </row>
        <row r="51">
          <cell r="Z51">
            <v>149746.609</v>
          </cell>
        </row>
        <row r="57">
          <cell r="Z57">
            <v>210670.08111999999</v>
          </cell>
        </row>
        <row r="58">
          <cell r="Z58">
            <v>35694.495999999999</v>
          </cell>
        </row>
        <row r="60">
          <cell r="Z60">
            <v>248764.14240000001</v>
          </cell>
        </row>
        <row r="61">
          <cell r="Z61">
            <v>151569.32816</v>
          </cell>
        </row>
        <row r="62">
          <cell r="Z62">
            <v>974898.83725999994</v>
          </cell>
        </row>
        <row r="65">
          <cell r="Z65">
            <v>0</v>
          </cell>
        </row>
        <row r="66">
          <cell r="Z66">
            <v>0.77227000000000001</v>
          </cell>
        </row>
        <row r="67">
          <cell r="Z67">
            <v>0</v>
          </cell>
        </row>
        <row r="69">
          <cell r="Z69">
            <v>4435.3787300000004</v>
          </cell>
        </row>
        <row r="70">
          <cell r="Z70">
            <v>0</v>
          </cell>
        </row>
        <row r="71">
          <cell r="Z71">
            <v>2.358E-2</v>
          </cell>
        </row>
        <row r="72">
          <cell r="Z72">
            <v>16854.536349999998</v>
          </cell>
        </row>
        <row r="73">
          <cell r="Z73">
            <v>3649.37851</v>
          </cell>
        </row>
        <row r="75">
          <cell r="Z75">
            <v>2439740.5734000001</v>
          </cell>
        </row>
        <row r="76">
          <cell r="Z76">
            <v>70035.704530000003</v>
          </cell>
        </row>
        <row r="77">
          <cell r="Z77">
            <v>3961.0201299999999</v>
          </cell>
        </row>
        <row r="78">
          <cell r="Z78">
            <v>255359.47112999999</v>
          </cell>
        </row>
        <row r="81">
          <cell r="Z81">
            <v>34051.517379999998</v>
          </cell>
        </row>
        <row r="82">
          <cell r="Z82">
            <v>0</v>
          </cell>
        </row>
        <row r="83">
          <cell r="Z83">
            <v>74602.748760000002</v>
          </cell>
        </row>
        <row r="84">
          <cell r="Z84">
            <v>603388.88624999998</v>
          </cell>
        </row>
        <row r="85">
          <cell r="Z85">
            <v>513114.94125999999</v>
          </cell>
        </row>
        <row r="87">
          <cell r="Z87">
            <v>190765.71664999999</v>
          </cell>
        </row>
        <row r="88">
          <cell r="Z88">
            <v>168406.72560000001</v>
          </cell>
        </row>
        <row r="94">
          <cell r="Z94">
            <v>10183996.5944</v>
          </cell>
        </row>
        <row r="95">
          <cell r="Z95">
            <v>3187548.8541299999</v>
          </cell>
        </row>
        <row r="96">
          <cell r="Z96">
            <v>13371545.44853</v>
          </cell>
        </row>
        <row r="99">
          <cell r="Z99">
            <v>70617.477369999993</v>
          </cell>
        </row>
        <row r="100">
          <cell r="Z100">
            <v>131891.24554999999</v>
          </cell>
        </row>
        <row r="101">
          <cell r="Z101">
            <v>1684814.01675</v>
          </cell>
        </row>
        <row r="102">
          <cell r="Z102">
            <v>5.8979999999999997</v>
          </cell>
        </row>
        <row r="103">
          <cell r="Z103">
            <v>64068.510049999997</v>
          </cell>
        </row>
        <row r="104">
          <cell r="Z104">
            <v>63818.669959999999</v>
          </cell>
        </row>
        <row r="105">
          <cell r="Z105">
            <v>1505467.4196599999</v>
          </cell>
        </row>
        <row r="106">
          <cell r="Z106">
            <v>617595.17160999996</v>
          </cell>
        </row>
        <row r="109">
          <cell r="Z109">
            <v>320.62484999999998</v>
          </cell>
        </row>
        <row r="110">
          <cell r="Z110">
            <v>11184.839400000001</v>
          </cell>
        </row>
        <row r="111">
          <cell r="Z111">
            <v>987858.35953999998</v>
          </cell>
        </row>
        <row r="112">
          <cell r="Z112">
            <v>16270.995999999999</v>
          </cell>
        </row>
        <row r="113">
          <cell r="Z113">
            <v>40117.766280000003</v>
          </cell>
        </row>
        <row r="114">
          <cell r="Z114">
            <v>3414.9483100000002</v>
          </cell>
        </row>
        <row r="115">
          <cell r="Z115">
            <v>1445831.7655799999</v>
          </cell>
        </row>
        <row r="116">
          <cell r="Z116">
            <v>1628945.8690599999</v>
          </cell>
        </row>
        <row r="119">
          <cell r="Z119">
            <v>548574.72849999997</v>
          </cell>
        </row>
        <row r="120">
          <cell r="Z120">
            <v>147862.88542999999</v>
          </cell>
        </row>
        <row r="121">
          <cell r="Z121">
            <v>375625.52982</v>
          </cell>
        </row>
        <row r="122">
          <cell r="Z122">
            <v>8115.2209999999995</v>
          </cell>
        </row>
        <row r="123">
          <cell r="Z123">
            <v>13977.89791</v>
          </cell>
        </row>
        <row r="124">
          <cell r="Z124">
            <v>14857.584290000001</v>
          </cell>
        </row>
        <row r="125">
          <cell r="Z125">
            <v>301005.08445999998</v>
          </cell>
        </row>
        <row r="126">
          <cell r="Z126">
            <v>501754.08502</v>
          </cell>
        </row>
        <row r="129">
          <cell r="Z129">
            <v>1143008.3060300001</v>
          </cell>
        </row>
        <row r="130">
          <cell r="Z130">
            <v>69289.320940000005</v>
          </cell>
        </row>
        <row r="131">
          <cell r="Z131">
            <v>504654.26136</v>
          </cell>
        </row>
        <row r="132">
          <cell r="Z132">
            <v>761501.80156000005</v>
          </cell>
        </row>
        <row r="133">
          <cell r="Z133">
            <v>709095.16423999995</v>
          </cell>
        </row>
        <row r="135">
          <cell r="Z135">
            <v>766.97799999999995</v>
          </cell>
        </row>
        <row r="136">
          <cell r="Z136">
            <v>236145.74583</v>
          </cell>
        </row>
        <row r="138">
          <cell r="Z138">
            <v>1937185.3699099999</v>
          </cell>
        </row>
      </sheetData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6-2021"/>
      <sheetName val="2007-2015"/>
    </sheetNames>
    <sheetDataSet>
      <sheetData sheetId="0">
        <row r="7">
          <cell r="Z7">
            <v>117.96481</v>
          </cell>
        </row>
        <row r="8">
          <cell r="Z8">
            <v>4641756.8711700011</v>
          </cell>
        </row>
        <row r="10">
          <cell r="Z10">
            <v>10991.67585</v>
          </cell>
        </row>
        <row r="11">
          <cell r="Z11">
            <v>0</v>
          </cell>
        </row>
        <row r="12">
          <cell r="Z12">
            <v>0</v>
          </cell>
        </row>
        <row r="15">
          <cell r="Z15">
            <v>4515843.1527300002</v>
          </cell>
        </row>
        <row r="16">
          <cell r="Z16">
            <v>114920.90545000001</v>
          </cell>
        </row>
        <row r="17">
          <cell r="Z17">
            <v>1.13714</v>
          </cell>
        </row>
        <row r="18">
          <cell r="Z18">
            <v>0</v>
          </cell>
        </row>
        <row r="19">
          <cell r="Z19">
            <v>0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0</v>
          </cell>
        </row>
        <row r="29">
          <cell r="Z29">
            <v>0</v>
          </cell>
        </row>
        <row r="32">
          <cell r="Z32">
            <v>1.294</v>
          </cell>
        </row>
        <row r="33">
          <cell r="Z33">
            <v>0</v>
          </cell>
        </row>
        <row r="34">
          <cell r="Z34">
            <v>0</v>
          </cell>
        </row>
        <row r="35">
          <cell r="Z35">
            <v>0</v>
          </cell>
        </row>
        <row r="36">
          <cell r="Z36">
            <v>69999.815279999995</v>
          </cell>
        </row>
        <row r="40">
          <cell r="Z40">
            <v>0</v>
          </cell>
        </row>
        <row r="41">
          <cell r="Z41">
            <v>0</v>
          </cell>
        </row>
        <row r="42">
          <cell r="Z42">
            <v>0</v>
          </cell>
        </row>
        <row r="43">
          <cell r="Z43">
            <v>39512.8632</v>
          </cell>
        </row>
        <row r="44">
          <cell r="Z44">
            <v>0</v>
          </cell>
        </row>
        <row r="47">
          <cell r="Z47">
            <v>717.44048999999995</v>
          </cell>
        </row>
        <row r="48">
          <cell r="Z48">
            <v>51907.994720000002</v>
          </cell>
        </row>
        <row r="49">
          <cell r="Z49">
            <v>8470.2850699999999</v>
          </cell>
        </row>
        <row r="50">
          <cell r="Z50">
            <v>0</v>
          </cell>
        </row>
        <row r="51">
          <cell r="Z51">
            <v>0</v>
          </cell>
        </row>
        <row r="57">
          <cell r="Z57">
            <v>0</v>
          </cell>
        </row>
        <row r="58">
          <cell r="Z58">
            <v>0</v>
          </cell>
        </row>
        <row r="60">
          <cell r="Z60">
            <v>0</v>
          </cell>
        </row>
        <row r="61">
          <cell r="Z61">
            <v>0</v>
          </cell>
        </row>
        <row r="62">
          <cell r="Z62">
            <v>0</v>
          </cell>
        </row>
        <row r="65">
          <cell r="Z65">
            <v>0</v>
          </cell>
        </row>
        <row r="66">
          <cell r="Z66">
            <v>0</v>
          </cell>
        </row>
        <row r="67">
          <cell r="Z67">
            <v>0</v>
          </cell>
        </row>
        <row r="69">
          <cell r="Z69">
            <v>0</v>
          </cell>
        </row>
        <row r="70">
          <cell r="Z70">
            <v>0</v>
          </cell>
        </row>
        <row r="71">
          <cell r="Z71">
            <v>0</v>
          </cell>
        </row>
        <row r="72">
          <cell r="Z72">
            <v>815717.54851999995</v>
          </cell>
        </row>
        <row r="73">
          <cell r="Z73">
            <v>0</v>
          </cell>
        </row>
        <row r="75">
          <cell r="Z75">
            <v>0</v>
          </cell>
        </row>
        <row r="76">
          <cell r="Z76">
            <v>0</v>
          </cell>
        </row>
        <row r="77">
          <cell r="Z77">
            <v>0</v>
          </cell>
        </row>
        <row r="78">
          <cell r="Z78">
            <v>0</v>
          </cell>
        </row>
        <row r="81">
          <cell r="Z81">
            <v>0</v>
          </cell>
        </row>
        <row r="82">
          <cell r="Z82">
            <v>0</v>
          </cell>
        </row>
        <row r="83">
          <cell r="Z83">
            <v>392104.26178</v>
          </cell>
        </row>
        <row r="84">
          <cell r="Z84">
            <v>0</v>
          </cell>
        </row>
        <row r="85">
          <cell r="Z85">
            <v>0</v>
          </cell>
        </row>
        <row r="87">
          <cell r="Z87">
            <v>7941.4973799999998</v>
          </cell>
        </row>
        <row r="88">
          <cell r="Z88">
            <v>179524.94067000001</v>
          </cell>
        </row>
        <row r="94">
          <cell r="Z94">
            <v>4550360.9268399999</v>
          </cell>
        </row>
        <row r="95">
          <cell r="Z95">
            <v>788474.42481999996</v>
          </cell>
        </row>
        <row r="96">
          <cell r="Z96">
            <v>5338835.3516600002</v>
          </cell>
        </row>
        <row r="99">
          <cell r="Z99">
            <v>0</v>
          </cell>
        </row>
        <row r="100">
          <cell r="Z100">
            <v>0</v>
          </cell>
        </row>
        <row r="101">
          <cell r="Z101">
            <v>0</v>
          </cell>
        </row>
        <row r="102">
          <cell r="Z102">
            <v>0</v>
          </cell>
        </row>
        <row r="103">
          <cell r="Z103">
            <v>0</v>
          </cell>
        </row>
        <row r="104">
          <cell r="Z104">
            <v>116.05983000000001</v>
          </cell>
        </row>
        <row r="105">
          <cell r="Z105">
            <v>301834.98285999999</v>
          </cell>
        </row>
        <row r="106">
          <cell r="Z106">
            <v>0</v>
          </cell>
        </row>
        <row r="109">
          <cell r="Z109">
            <v>0</v>
          </cell>
        </row>
        <row r="110">
          <cell r="Z110">
            <v>0</v>
          </cell>
        </row>
        <row r="111">
          <cell r="Z111">
            <v>0</v>
          </cell>
        </row>
        <row r="112">
          <cell r="Z112">
            <v>0</v>
          </cell>
        </row>
        <row r="113">
          <cell r="Z113">
            <v>0</v>
          </cell>
        </row>
        <row r="114">
          <cell r="Z114">
            <v>0</v>
          </cell>
        </row>
        <row r="115">
          <cell r="Z115">
            <v>4248409.8841500003</v>
          </cell>
        </row>
        <row r="116">
          <cell r="Z116">
            <v>0</v>
          </cell>
        </row>
        <row r="119">
          <cell r="Z119">
            <v>0</v>
          </cell>
        </row>
        <row r="120">
          <cell r="Z120">
            <v>0</v>
          </cell>
        </row>
        <row r="121">
          <cell r="Z121">
            <v>0</v>
          </cell>
        </row>
        <row r="122">
          <cell r="Z122">
            <v>0</v>
          </cell>
        </row>
        <row r="123">
          <cell r="Z123">
            <v>0</v>
          </cell>
        </row>
        <row r="124">
          <cell r="Z124">
            <v>0</v>
          </cell>
        </row>
        <row r="125">
          <cell r="Z125">
            <v>0</v>
          </cell>
        </row>
        <row r="126">
          <cell r="Z126">
            <v>0</v>
          </cell>
        </row>
        <row r="129">
          <cell r="Z129">
            <v>0</v>
          </cell>
        </row>
        <row r="130">
          <cell r="Z130">
            <v>2299.8976200000002</v>
          </cell>
        </row>
        <row r="131">
          <cell r="Z131">
            <v>786174.52720000001</v>
          </cell>
        </row>
        <row r="132">
          <cell r="Z132">
            <v>0</v>
          </cell>
        </row>
        <row r="133">
          <cell r="Z133">
            <v>0</v>
          </cell>
        </row>
        <row r="135">
          <cell r="Z135">
            <v>0</v>
          </cell>
        </row>
        <row r="136">
          <cell r="Z136">
            <v>128312.50811</v>
          </cell>
        </row>
        <row r="138">
          <cell r="Z138">
            <v>740624.91732000001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 - 2022"/>
      <sheetName val="2007 - 2017"/>
    </sheetNames>
    <sheetDataSet>
      <sheetData sheetId="0">
        <row r="7">
          <cell r="S7">
            <v>87798.470950000003</v>
          </cell>
        </row>
        <row r="8">
          <cell r="S8">
            <v>4281380.3652799996</v>
          </cell>
        </row>
        <row r="10">
          <cell r="S10">
            <v>52648.000950000001</v>
          </cell>
        </row>
        <row r="11">
          <cell r="S11">
            <v>67972.646999999997</v>
          </cell>
        </row>
        <row r="12">
          <cell r="S12">
            <v>0</v>
          </cell>
        </row>
        <row r="16">
          <cell r="S16">
            <v>1574909.8653299999</v>
          </cell>
        </row>
        <row r="17">
          <cell r="S17">
            <v>1115.9839999999999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2">
          <cell r="S32">
            <v>604730.60100000002</v>
          </cell>
        </row>
        <row r="33">
          <cell r="S33">
            <v>159345.21418000001</v>
          </cell>
        </row>
        <row r="34">
          <cell r="S34">
            <v>343606.36086000002</v>
          </cell>
        </row>
        <row r="35">
          <cell r="S35">
            <v>86459.936919999993</v>
          </cell>
        </row>
        <row r="36">
          <cell r="S36">
            <v>3514530.2015800001</v>
          </cell>
        </row>
        <row r="40">
          <cell r="S40">
            <v>100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15487.69543</v>
          </cell>
        </row>
        <row r="44">
          <cell r="S44">
            <v>0</v>
          </cell>
        </row>
        <row r="47">
          <cell r="S47">
            <v>77623</v>
          </cell>
        </row>
        <row r="48">
          <cell r="S48">
            <v>0</v>
          </cell>
        </row>
        <row r="49">
          <cell r="S49">
            <v>17.272639999999999</v>
          </cell>
        </row>
        <row r="50">
          <cell r="S50">
            <v>0</v>
          </cell>
        </row>
        <row r="51">
          <cell r="S51">
            <v>172306.019</v>
          </cell>
        </row>
        <row r="57">
          <cell r="S57">
            <v>196820.38</v>
          </cell>
        </row>
        <row r="58">
          <cell r="S58">
            <v>31499.052</v>
          </cell>
        </row>
        <row r="60">
          <cell r="S60">
            <v>254212.32177000001</v>
          </cell>
        </row>
        <row r="61">
          <cell r="S61">
            <v>155086.39058000001</v>
          </cell>
        </row>
        <row r="62">
          <cell r="S62">
            <v>1008649.1140600001</v>
          </cell>
        </row>
        <row r="65">
          <cell r="S65">
            <v>0</v>
          </cell>
        </row>
        <row r="66">
          <cell r="S66">
            <v>0.85104999999999997</v>
          </cell>
        </row>
        <row r="67">
          <cell r="S67">
            <v>0</v>
          </cell>
        </row>
        <row r="69">
          <cell r="S69">
            <v>4351.8720999999996</v>
          </cell>
        </row>
        <row r="70">
          <cell r="S70">
            <v>0</v>
          </cell>
        </row>
        <row r="71">
          <cell r="S71">
            <v>2.358E-2</v>
          </cell>
        </row>
        <row r="72">
          <cell r="S72">
            <v>16444.409670000001</v>
          </cell>
        </row>
        <row r="73">
          <cell r="S73">
            <v>3649.7323200000001</v>
          </cell>
        </row>
        <row r="75">
          <cell r="S75">
            <v>2501390.23227</v>
          </cell>
        </row>
        <row r="76">
          <cell r="S76">
            <v>70643.665940000006</v>
          </cell>
        </row>
        <row r="77">
          <cell r="S77">
            <v>3819.4129400000002</v>
          </cell>
        </row>
        <row r="78">
          <cell r="S78">
            <v>261394.11192999998</v>
          </cell>
        </row>
        <row r="81">
          <cell r="S81">
            <v>32841.25</v>
          </cell>
        </row>
        <row r="82">
          <cell r="S82">
            <v>0</v>
          </cell>
        </row>
        <row r="83">
          <cell r="S83">
            <v>72418.463669999997</v>
          </cell>
        </row>
        <row r="84">
          <cell r="S84">
            <v>583902.29055999999</v>
          </cell>
        </row>
        <row r="85">
          <cell r="S85">
            <v>452414.55304999999</v>
          </cell>
        </row>
        <row r="87">
          <cell r="S87">
            <v>188225.04844000001</v>
          </cell>
        </row>
        <row r="88">
          <cell r="S88">
            <v>194152.02415000001</v>
          </cell>
        </row>
        <row r="94">
          <cell r="S94">
            <v>10070115.093490001</v>
          </cell>
        </row>
        <row r="95">
          <cell r="S95">
            <v>3177856.4241199996</v>
          </cell>
        </row>
        <row r="96">
          <cell r="S96">
            <v>13247971.51761</v>
          </cell>
        </row>
        <row r="99">
          <cell r="S99">
            <v>40681.28847</v>
          </cell>
        </row>
        <row r="100">
          <cell r="S100">
            <v>154418.33184999999</v>
          </cell>
        </row>
        <row r="101">
          <cell r="S101">
            <v>1762092.40068</v>
          </cell>
        </row>
        <row r="102">
          <cell r="S102">
            <v>6</v>
          </cell>
        </row>
        <row r="103">
          <cell r="S103">
            <v>37069.346709999998</v>
          </cell>
        </row>
        <row r="104">
          <cell r="S104">
            <v>86707.098079999996</v>
          </cell>
        </row>
        <row r="105">
          <cell r="S105">
            <v>1437681.5767399999</v>
          </cell>
        </row>
        <row r="106">
          <cell r="S106">
            <v>638265.62373999995</v>
          </cell>
        </row>
        <row r="109">
          <cell r="S109">
            <v>888.17621999999994</v>
          </cell>
        </row>
        <row r="110">
          <cell r="S110">
            <v>12561.01856</v>
          </cell>
        </row>
        <row r="111">
          <cell r="S111">
            <v>948988.38034000003</v>
          </cell>
        </row>
        <row r="112">
          <cell r="S112">
            <v>15511.481390000001</v>
          </cell>
        </row>
        <row r="113">
          <cell r="S113">
            <v>38284.330560000002</v>
          </cell>
        </row>
        <row r="114">
          <cell r="S114">
            <v>5556.2737200000001</v>
          </cell>
        </row>
        <row r="115">
          <cell r="S115">
            <v>1219009.98706</v>
          </cell>
        </row>
        <row r="116">
          <cell r="S116">
            <v>1671611.37213</v>
          </cell>
        </row>
        <row r="119">
          <cell r="S119">
            <v>636851.90260000003</v>
          </cell>
        </row>
        <row r="120">
          <cell r="S120">
            <v>145524.11744</v>
          </cell>
        </row>
        <row r="121">
          <cell r="S121">
            <v>375286.49099000002</v>
          </cell>
        </row>
        <row r="122">
          <cell r="S122">
            <v>8115.2209999999995</v>
          </cell>
        </row>
        <row r="123">
          <cell r="S123">
            <v>37979.625889999996</v>
          </cell>
        </row>
        <row r="124">
          <cell r="S124">
            <v>13598.001689999999</v>
          </cell>
        </row>
        <row r="125">
          <cell r="S125">
            <v>261356.70915000001</v>
          </cell>
        </row>
        <row r="126">
          <cell r="S126">
            <v>522070.33847999998</v>
          </cell>
        </row>
        <row r="129">
          <cell r="S129">
            <v>1147763.0626699999</v>
          </cell>
        </row>
        <row r="130">
          <cell r="S130">
            <v>104010.58392999999</v>
          </cell>
        </row>
        <row r="131">
          <cell r="S131">
            <v>483551.26762</v>
          </cell>
        </row>
        <row r="132">
          <cell r="S132">
            <v>740211.82291999995</v>
          </cell>
        </row>
        <row r="133">
          <cell r="S133">
            <v>702319.68698</v>
          </cell>
        </row>
        <row r="135">
          <cell r="S135">
            <v>8567.8680000000004</v>
          </cell>
        </row>
        <row r="136">
          <cell r="S136">
            <v>224816.81263</v>
          </cell>
        </row>
        <row r="138">
          <cell r="S138">
            <v>1893944.1161</v>
          </cell>
        </row>
      </sheetData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2022"/>
      <sheetName val="2007-2017"/>
    </sheetNames>
    <sheetDataSet>
      <sheetData sheetId="0">
        <row r="7">
          <cell r="S7">
            <v>117.80182000000001</v>
          </cell>
        </row>
        <row r="8">
          <cell r="S8">
            <v>5902785.8449900001</v>
          </cell>
        </row>
        <row r="10">
          <cell r="S10">
            <v>8881.7748900000006</v>
          </cell>
        </row>
        <row r="11">
          <cell r="S11">
            <v>0</v>
          </cell>
        </row>
        <row r="12">
          <cell r="S12">
            <v>0</v>
          </cell>
        </row>
        <row r="16">
          <cell r="S16">
            <v>90802.986770000003</v>
          </cell>
        </row>
        <row r="17">
          <cell r="S17">
            <v>0.10357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2">
          <cell r="S32">
            <v>1.294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69967.119439999995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110386.63497</v>
          </cell>
        </row>
        <row r="44">
          <cell r="S44">
            <v>0</v>
          </cell>
        </row>
        <row r="47">
          <cell r="S47">
            <v>9066.7629400000005</v>
          </cell>
        </row>
        <row r="48">
          <cell r="S48">
            <v>53471.91231</v>
          </cell>
        </row>
        <row r="49">
          <cell r="S49">
            <v>10499.2114</v>
          </cell>
        </row>
        <row r="50">
          <cell r="S50">
            <v>0</v>
          </cell>
        </row>
        <row r="51">
          <cell r="S51">
            <v>0</v>
          </cell>
        </row>
        <row r="57">
          <cell r="S57">
            <v>0</v>
          </cell>
        </row>
        <row r="58">
          <cell r="S58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595399.80567000003</v>
          </cell>
        </row>
        <row r="73">
          <cell r="S73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380595.27081000002</v>
          </cell>
        </row>
        <row r="84">
          <cell r="S84">
            <v>0</v>
          </cell>
        </row>
        <row r="85">
          <cell r="S85">
            <v>0</v>
          </cell>
        </row>
        <row r="87">
          <cell r="S87">
            <v>7429.5812800000003</v>
          </cell>
        </row>
        <row r="88">
          <cell r="S88">
            <v>181091.95541999998</v>
          </cell>
        </row>
        <row r="94">
          <cell r="S94">
            <v>4859930.12677</v>
          </cell>
        </row>
        <row r="95">
          <cell r="S95">
            <v>1481493.6351999999</v>
          </cell>
        </row>
        <row r="96">
          <cell r="S96">
            <v>6341423.7619700003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83.152969999999996</v>
          </cell>
        </row>
        <row r="105">
          <cell r="S105">
            <v>265941.72745000001</v>
          </cell>
        </row>
        <row r="106">
          <cell r="S106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4593905.2463499997</v>
          </cell>
        </row>
        <row r="116">
          <cell r="S116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9">
          <cell r="S129">
            <v>0</v>
          </cell>
        </row>
        <row r="130">
          <cell r="S130">
            <v>219.88038</v>
          </cell>
        </row>
        <row r="131">
          <cell r="S131">
            <v>1479687.67282</v>
          </cell>
        </row>
        <row r="132">
          <cell r="S132">
            <v>0</v>
          </cell>
        </row>
        <row r="133">
          <cell r="S133">
            <v>1586.0820000000001</v>
          </cell>
        </row>
        <row r="135">
          <cell r="S135">
            <v>9674.4497499999998</v>
          </cell>
        </row>
        <row r="136">
          <cell r="S136">
            <v>216844.04715</v>
          </cell>
        </row>
        <row r="138">
          <cell r="S138">
            <v>752870.93618000008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 - 2022"/>
      <sheetName val="2007 - 2017"/>
    </sheetNames>
    <sheetDataSet>
      <sheetData sheetId="0">
        <row r="7">
          <cell r="T7">
            <v>87656.330969999995</v>
          </cell>
        </row>
        <row r="8">
          <cell r="T8">
            <v>4505751.2647500001</v>
          </cell>
        </row>
        <row r="10">
          <cell r="T10">
            <v>66634.577950000006</v>
          </cell>
        </row>
        <row r="11">
          <cell r="T11">
            <v>46363.360000000001</v>
          </cell>
        </row>
        <row r="12">
          <cell r="T12">
            <v>0</v>
          </cell>
        </row>
        <row r="15">
          <cell r="T15">
            <v>2909431.1093299999</v>
          </cell>
        </row>
        <row r="16">
          <cell r="T16">
            <v>1479898.26847</v>
          </cell>
        </row>
        <row r="17">
          <cell r="T17">
            <v>3423.9490000000001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602034.19200000004</v>
          </cell>
        </row>
        <row r="33">
          <cell r="T33">
            <v>96803.42555</v>
          </cell>
        </row>
        <row r="34">
          <cell r="T34">
            <v>434693.75095999998</v>
          </cell>
        </row>
        <row r="35">
          <cell r="T35">
            <v>90644.633879999994</v>
          </cell>
        </row>
        <row r="36">
          <cell r="T36">
            <v>3224248.6155500002</v>
          </cell>
        </row>
        <row r="40">
          <cell r="T40">
            <v>100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12535.12743</v>
          </cell>
        </row>
        <row r="44">
          <cell r="T44">
            <v>0</v>
          </cell>
        </row>
        <row r="47">
          <cell r="T47">
            <v>77623</v>
          </cell>
        </row>
        <row r="48">
          <cell r="T48">
            <v>0</v>
          </cell>
        </row>
        <row r="49">
          <cell r="T49">
            <v>17.272639999999999</v>
          </cell>
        </row>
        <row r="50">
          <cell r="T50">
            <v>0</v>
          </cell>
        </row>
        <row r="51">
          <cell r="T51">
            <v>171877.598</v>
          </cell>
        </row>
        <row r="57">
          <cell r="T57">
            <v>518666.37053000001</v>
          </cell>
        </row>
        <row r="58">
          <cell r="T58">
            <v>28261.531999999999</v>
          </cell>
        </row>
        <row r="60">
          <cell r="T60">
            <v>239757.04417000001</v>
          </cell>
        </row>
        <row r="61">
          <cell r="T61">
            <v>173752.01295999999</v>
          </cell>
        </row>
        <row r="62">
          <cell r="T62">
            <v>1020944.781</v>
          </cell>
        </row>
        <row r="65">
          <cell r="T65">
            <v>0</v>
          </cell>
        </row>
        <row r="66">
          <cell r="T66">
            <v>42.725929999999998</v>
          </cell>
        </row>
        <row r="67">
          <cell r="T67">
            <v>0</v>
          </cell>
        </row>
        <row r="69">
          <cell r="T69">
            <v>4268.1472899999999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16224.88386</v>
          </cell>
        </row>
        <row r="73">
          <cell r="T73">
            <v>3652.3859200000002</v>
          </cell>
        </row>
        <row r="75">
          <cell r="T75">
            <v>2551694.9478099998</v>
          </cell>
        </row>
        <row r="76">
          <cell r="T76">
            <v>70833.507859999998</v>
          </cell>
        </row>
        <row r="77">
          <cell r="T77">
            <v>3376.8621400000002</v>
          </cell>
        </row>
        <row r="78">
          <cell r="T78">
            <v>260980.96490999998</v>
          </cell>
        </row>
        <row r="81">
          <cell r="T81">
            <v>30455</v>
          </cell>
        </row>
        <row r="82">
          <cell r="T82">
            <v>0</v>
          </cell>
        </row>
        <row r="83">
          <cell r="T83">
            <v>73139.016159999999</v>
          </cell>
        </row>
        <row r="84">
          <cell r="T84">
            <v>564154.45178999996</v>
          </cell>
        </row>
        <row r="85">
          <cell r="T85">
            <v>467780.77877999999</v>
          </cell>
        </row>
        <row r="87">
          <cell r="T87">
            <v>188101.03700000001</v>
          </cell>
        </row>
        <row r="88">
          <cell r="T88">
            <v>154065.24116999999</v>
          </cell>
        </row>
        <row r="94">
          <cell r="T94">
            <v>10507421.814239999</v>
          </cell>
        </row>
        <row r="95">
          <cell r="T95">
            <v>3015359.2349099996</v>
          </cell>
        </row>
        <row r="96">
          <cell r="T96">
            <v>13522781.049149999</v>
          </cell>
        </row>
        <row r="99">
          <cell r="T99">
            <v>17247.131669999999</v>
          </cell>
        </row>
        <row r="100">
          <cell r="T100">
            <v>170593.46765999999</v>
          </cell>
        </row>
        <row r="101">
          <cell r="T101">
            <v>1758848.80581</v>
          </cell>
        </row>
        <row r="102">
          <cell r="T102">
            <v>6</v>
          </cell>
        </row>
        <row r="103">
          <cell r="T103">
            <v>33388.014380000001</v>
          </cell>
        </row>
        <row r="104">
          <cell r="T104">
            <v>85512.382540000006</v>
          </cell>
        </row>
        <row r="105">
          <cell r="T105">
            <v>1697718.69903</v>
          </cell>
        </row>
        <row r="106">
          <cell r="T106">
            <v>641883.60944999999</v>
          </cell>
        </row>
        <row r="109">
          <cell r="T109">
            <v>1232.0648100000001</v>
          </cell>
        </row>
        <row r="110">
          <cell r="T110">
            <v>15883.30284</v>
          </cell>
        </row>
        <row r="111">
          <cell r="T111">
            <v>1002985.64948</v>
          </cell>
        </row>
        <row r="112">
          <cell r="T112">
            <v>17256.754219999999</v>
          </cell>
        </row>
        <row r="113">
          <cell r="T113">
            <v>66875.852469999998</v>
          </cell>
        </row>
        <row r="114">
          <cell r="T114">
            <v>5370.4795100000001</v>
          </cell>
        </row>
        <row r="115">
          <cell r="T115">
            <v>1225790.3740300001</v>
          </cell>
        </row>
        <row r="116">
          <cell r="T116">
            <v>1668640.8681900001</v>
          </cell>
        </row>
        <row r="119">
          <cell r="T119">
            <v>594436.06564000004</v>
          </cell>
        </row>
        <row r="120">
          <cell r="T120">
            <v>83449.732300000003</v>
          </cell>
        </row>
        <row r="121">
          <cell r="T121">
            <v>533011.78792999999</v>
          </cell>
        </row>
        <row r="122">
          <cell r="T122">
            <v>8128.9110000000001</v>
          </cell>
        </row>
        <row r="123">
          <cell r="T123">
            <v>72441.730039999995</v>
          </cell>
        </row>
        <row r="124">
          <cell r="T124">
            <v>15204.54905</v>
          </cell>
        </row>
        <row r="125">
          <cell r="T125">
            <v>281258.75771999999</v>
          </cell>
        </row>
        <row r="126">
          <cell r="T126">
            <v>510256.82446999999</v>
          </cell>
        </row>
        <row r="129">
          <cell r="T129">
            <v>1059964.8947099999</v>
          </cell>
        </row>
        <row r="130">
          <cell r="T130">
            <v>106453.98376</v>
          </cell>
        </row>
        <row r="131">
          <cell r="T131">
            <v>461153.88735999999</v>
          </cell>
        </row>
        <row r="132">
          <cell r="T132">
            <v>685234.76165</v>
          </cell>
        </row>
        <row r="133">
          <cell r="T133">
            <v>702551.70742999995</v>
          </cell>
        </row>
        <row r="135">
          <cell r="T135">
            <v>8477.8880000000008</v>
          </cell>
        </row>
        <row r="136">
          <cell r="T136">
            <v>213708.95578000002</v>
          </cell>
        </row>
        <row r="138">
          <cell r="T138">
            <v>1929169.0100799999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-2019"/>
      <sheetName val="2007-2014"/>
    </sheetNames>
    <sheetDataSet>
      <sheetData sheetId="0">
        <row r="7">
          <cell r="S7">
            <v>119</v>
          </cell>
        </row>
        <row r="8">
          <cell r="S8">
            <v>4284776</v>
          </cell>
        </row>
        <row r="10">
          <cell r="S10">
            <v>9598</v>
          </cell>
        </row>
        <row r="11">
          <cell r="S11">
            <v>68496</v>
          </cell>
        </row>
        <row r="12">
          <cell r="S12">
            <v>0</v>
          </cell>
        </row>
        <row r="15">
          <cell r="S15">
            <v>4195723</v>
          </cell>
        </row>
        <row r="16">
          <cell r="S16">
            <v>10947</v>
          </cell>
        </row>
        <row r="17">
          <cell r="S17">
            <v>12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111979</v>
          </cell>
        </row>
        <row r="29">
          <cell r="S29">
            <v>0</v>
          </cell>
        </row>
        <row r="32">
          <cell r="S32">
            <v>31974</v>
          </cell>
        </row>
        <row r="35">
          <cell r="S35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7">
          <cell r="S47">
            <v>0</v>
          </cell>
        </row>
        <row r="50">
          <cell r="S50">
            <v>0</v>
          </cell>
        </row>
        <row r="57">
          <cell r="S57">
            <v>0</v>
          </cell>
        </row>
        <row r="58">
          <cell r="S58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698741</v>
          </cell>
        </row>
        <row r="73">
          <cell r="S73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150680</v>
          </cell>
        </row>
        <row r="84">
          <cell r="S84">
            <v>0</v>
          </cell>
        </row>
        <row r="85">
          <cell r="S85">
            <v>0</v>
          </cell>
        </row>
        <row r="87">
          <cell r="S87">
            <v>13658</v>
          </cell>
        </row>
        <row r="88">
          <cell r="S88">
            <v>108711</v>
          </cell>
        </row>
        <row r="94">
          <cell r="S94">
            <v>3452937</v>
          </cell>
        </row>
        <row r="95">
          <cell r="S95">
            <v>577346</v>
          </cell>
        </row>
        <row r="96">
          <cell r="S96">
            <v>4030283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293</v>
          </cell>
        </row>
        <row r="105">
          <cell r="S105">
            <v>224466</v>
          </cell>
        </row>
        <row r="106">
          <cell r="S106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3118181</v>
          </cell>
        </row>
        <row r="116">
          <cell r="S116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109997</v>
          </cell>
        </row>
        <row r="126">
          <cell r="S126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577346</v>
          </cell>
        </row>
        <row r="132">
          <cell r="S132">
            <v>0</v>
          </cell>
        </row>
        <row r="133">
          <cell r="S133">
            <v>0</v>
          </cell>
        </row>
        <row r="135">
          <cell r="S135">
            <v>900000</v>
          </cell>
        </row>
        <row r="136">
          <cell r="S136">
            <v>255547</v>
          </cell>
        </row>
        <row r="138">
          <cell r="S138">
            <v>378735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2022"/>
      <sheetName val="2007-2017"/>
    </sheetNames>
    <sheetDataSet>
      <sheetData sheetId="0">
        <row r="7">
          <cell r="T7">
            <v>117.58337</v>
          </cell>
        </row>
        <row r="8">
          <cell r="T8">
            <v>4157797.6886599995</v>
          </cell>
        </row>
        <row r="10">
          <cell r="T10">
            <v>6449.35671</v>
          </cell>
        </row>
        <row r="11">
          <cell r="T11">
            <v>0</v>
          </cell>
        </row>
        <row r="12">
          <cell r="T12">
            <v>0</v>
          </cell>
        </row>
        <row r="15">
          <cell r="T15">
            <v>4096046.0861</v>
          </cell>
        </row>
        <row r="16">
          <cell r="T16">
            <v>55302.14228</v>
          </cell>
        </row>
        <row r="17">
          <cell r="T17">
            <v>0.10357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1.294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69842.801389999993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54441.724390000003</v>
          </cell>
        </row>
        <row r="44">
          <cell r="T44">
            <v>0</v>
          </cell>
        </row>
        <row r="47">
          <cell r="T47">
            <v>2616.3474700000002</v>
          </cell>
        </row>
        <row r="48">
          <cell r="T48">
            <v>96378.55816</v>
          </cell>
        </row>
        <row r="49">
          <cell r="T49">
            <v>8190.4163799999997</v>
          </cell>
        </row>
        <row r="50">
          <cell r="T50">
            <v>0</v>
          </cell>
        </row>
        <row r="51">
          <cell r="T51">
            <v>0</v>
          </cell>
        </row>
        <row r="57">
          <cell r="T57">
            <v>0</v>
          </cell>
        </row>
        <row r="58">
          <cell r="T58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9">
          <cell r="T69">
            <v>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1011666.8047</v>
          </cell>
        </row>
        <row r="73">
          <cell r="T73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81">
          <cell r="T81">
            <v>0</v>
          </cell>
        </row>
        <row r="82">
          <cell r="T82">
            <v>0</v>
          </cell>
        </row>
        <row r="83">
          <cell r="T83">
            <v>333491.34483999998</v>
          </cell>
        </row>
        <row r="84">
          <cell r="T84">
            <v>0</v>
          </cell>
        </row>
        <row r="85">
          <cell r="T85">
            <v>0</v>
          </cell>
        </row>
        <row r="87">
          <cell r="T87">
            <v>6820.4095399999997</v>
          </cell>
        </row>
        <row r="88">
          <cell r="T88">
            <v>175687.30267999999</v>
          </cell>
        </row>
        <row r="94">
          <cell r="T94">
            <v>4123809.2278800001</v>
          </cell>
        </row>
        <row r="95">
          <cell r="T95">
            <v>846099.06397000002</v>
          </cell>
        </row>
        <row r="96">
          <cell r="T96">
            <v>4969908.2918500006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74.023099999999999</v>
          </cell>
        </row>
        <row r="105">
          <cell r="T105">
            <v>271486.37471</v>
          </cell>
        </row>
        <row r="106">
          <cell r="T106">
            <v>7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3852241.8300700001</v>
          </cell>
        </row>
        <row r="116">
          <cell r="T116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9">
          <cell r="T129">
            <v>0</v>
          </cell>
        </row>
        <row r="130">
          <cell r="T130">
            <v>184.19507999999999</v>
          </cell>
        </row>
        <row r="131">
          <cell r="T131">
            <v>842586.32191000006</v>
          </cell>
        </row>
        <row r="132">
          <cell r="T132">
            <v>0</v>
          </cell>
        </row>
        <row r="133">
          <cell r="T133">
            <v>3328.5469800000001</v>
          </cell>
        </row>
        <row r="135">
          <cell r="T135">
            <v>1450.64734</v>
          </cell>
        </row>
        <row r="136">
          <cell r="T136">
            <v>179913.11491</v>
          </cell>
        </row>
        <row r="138">
          <cell r="T138">
            <v>765780.22147999995</v>
          </cell>
        </row>
      </sheetData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 - 2022"/>
      <sheetName val="2007 - 2017"/>
    </sheetNames>
    <sheetDataSet>
      <sheetData sheetId="0">
        <row r="7">
          <cell r="U7">
            <v>82864.732440000007</v>
          </cell>
        </row>
        <row r="8">
          <cell r="U8">
            <v>4132882.1952599999</v>
          </cell>
        </row>
        <row r="10">
          <cell r="U10">
            <v>19978.786969999997</v>
          </cell>
        </row>
        <row r="11">
          <cell r="U11">
            <v>37833.303999999996</v>
          </cell>
        </row>
        <row r="12">
          <cell r="U12">
            <v>0</v>
          </cell>
        </row>
        <row r="15">
          <cell r="U15">
            <v>2955613.4788799998</v>
          </cell>
        </row>
        <row r="16">
          <cell r="U16">
            <v>1114663.5814100001</v>
          </cell>
        </row>
        <row r="17">
          <cell r="U17">
            <v>4793.0439999999999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612415.27500000002</v>
          </cell>
        </row>
        <row r="33">
          <cell r="U33">
            <v>85353.337899999999</v>
          </cell>
        </row>
        <row r="34">
          <cell r="U34">
            <v>452928.89236</v>
          </cell>
        </row>
        <row r="35">
          <cell r="U35">
            <v>80872.298269999999</v>
          </cell>
        </row>
        <row r="36">
          <cell r="U36">
            <v>3196087.55217</v>
          </cell>
        </row>
        <row r="40">
          <cell r="U40">
            <v>100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11571.91143</v>
          </cell>
        </row>
        <row r="44">
          <cell r="U44">
            <v>0</v>
          </cell>
        </row>
        <row r="47">
          <cell r="U47">
            <v>77623</v>
          </cell>
        </row>
        <row r="48">
          <cell r="U48">
            <v>0</v>
          </cell>
        </row>
        <row r="49">
          <cell r="U49">
            <v>17.272639999999999</v>
          </cell>
        </row>
        <row r="50">
          <cell r="U50">
            <v>0</v>
          </cell>
        </row>
        <row r="51">
          <cell r="U51">
            <v>171933.92</v>
          </cell>
        </row>
        <row r="57">
          <cell r="U57">
            <v>498557.01348999998</v>
          </cell>
        </row>
        <row r="58">
          <cell r="U58">
            <v>27837.731</v>
          </cell>
        </row>
        <row r="60">
          <cell r="U60">
            <v>303124.76517999999</v>
          </cell>
        </row>
        <row r="61">
          <cell r="U61">
            <v>162452.54801999999</v>
          </cell>
        </row>
        <row r="62">
          <cell r="U62">
            <v>959100.49219999998</v>
          </cell>
        </row>
        <row r="65">
          <cell r="U65">
            <v>0</v>
          </cell>
        </row>
        <row r="66">
          <cell r="U66">
            <v>0.89607999999999999</v>
          </cell>
        </row>
        <row r="67">
          <cell r="U67">
            <v>0</v>
          </cell>
        </row>
        <row r="69">
          <cell r="U69">
            <v>4187.5491400000001</v>
          </cell>
        </row>
        <row r="70">
          <cell r="U70">
            <v>0</v>
          </cell>
        </row>
        <row r="71">
          <cell r="U71">
            <v>0</v>
          </cell>
        </row>
        <row r="72">
          <cell r="U72">
            <v>12503.293439999999</v>
          </cell>
        </row>
        <row r="73">
          <cell r="U73">
            <v>3656.48002</v>
          </cell>
        </row>
        <row r="75">
          <cell r="U75">
            <v>2603379.0653300001</v>
          </cell>
        </row>
        <row r="76">
          <cell r="U76">
            <v>67709.522140000001</v>
          </cell>
        </row>
        <row r="77">
          <cell r="U77">
            <v>3710.3000699999998</v>
          </cell>
        </row>
        <row r="78">
          <cell r="U78">
            <v>274288.76685000001</v>
          </cell>
        </row>
        <row r="81">
          <cell r="U81">
            <v>27941.25</v>
          </cell>
        </row>
        <row r="82">
          <cell r="U82">
            <v>0</v>
          </cell>
        </row>
        <row r="83">
          <cell r="U83">
            <v>66236.858859999993</v>
          </cell>
        </row>
        <row r="84">
          <cell r="U84">
            <v>565842.36493000004</v>
          </cell>
        </row>
        <row r="85">
          <cell r="U85">
            <v>464928.99598000001</v>
          </cell>
        </row>
        <row r="87">
          <cell r="U87">
            <v>187455.95095</v>
          </cell>
        </row>
        <row r="88">
          <cell r="U88">
            <v>161887.35719000001</v>
          </cell>
        </row>
        <row r="94">
          <cell r="U94">
            <v>9902684.7719700001</v>
          </cell>
        </row>
        <row r="95">
          <cell r="U95">
            <v>3181341.26346</v>
          </cell>
        </row>
        <row r="96">
          <cell r="U96">
            <v>13084026.035429999</v>
          </cell>
        </row>
        <row r="99">
          <cell r="U99">
            <v>8757.0601800000004</v>
          </cell>
        </row>
        <row r="100">
          <cell r="U100">
            <v>178789.45861</v>
          </cell>
        </row>
        <row r="101">
          <cell r="U101">
            <v>1580961.2998200001</v>
          </cell>
        </row>
        <row r="102">
          <cell r="U102">
            <v>6</v>
          </cell>
        </row>
        <row r="103">
          <cell r="U103">
            <v>65514.320350000002</v>
          </cell>
        </row>
        <row r="104">
          <cell r="U104">
            <v>90039.465519999998</v>
          </cell>
        </row>
        <row r="105">
          <cell r="U105">
            <v>1682082.15925</v>
          </cell>
        </row>
        <row r="106">
          <cell r="U106">
            <v>568055.18946999998</v>
          </cell>
        </row>
        <row r="109">
          <cell r="U109">
            <v>1176.1445900000001</v>
          </cell>
        </row>
        <row r="110">
          <cell r="U110">
            <v>16951.399440000001</v>
          </cell>
        </row>
        <row r="111">
          <cell r="U111">
            <v>946928.98551000003</v>
          </cell>
        </row>
        <row r="112">
          <cell r="U112">
            <v>21646.651959999999</v>
          </cell>
        </row>
        <row r="113">
          <cell r="U113">
            <v>65336.442509999993</v>
          </cell>
        </row>
        <row r="114">
          <cell r="U114">
            <v>8636.4371900000006</v>
          </cell>
        </row>
        <row r="115">
          <cell r="U115">
            <v>1211552.34442</v>
          </cell>
        </row>
        <row r="116">
          <cell r="U116">
            <v>1590245.9681200001</v>
          </cell>
        </row>
        <row r="119">
          <cell r="U119">
            <v>440240.9999</v>
          </cell>
        </row>
        <row r="120">
          <cell r="U120">
            <v>91570.022020000004</v>
          </cell>
        </row>
        <row r="121">
          <cell r="U121">
            <v>426204.84198000003</v>
          </cell>
        </row>
        <row r="122">
          <cell r="U122">
            <v>8128.9110000000001</v>
          </cell>
        </row>
        <row r="123">
          <cell r="U123">
            <v>66113.193450000006</v>
          </cell>
        </row>
        <row r="124">
          <cell r="U124">
            <v>10060.223959999999</v>
          </cell>
        </row>
        <row r="125">
          <cell r="U125">
            <v>292361.5906</v>
          </cell>
        </row>
        <row r="126">
          <cell r="U126">
            <v>531325.66211999999</v>
          </cell>
        </row>
        <row r="129">
          <cell r="U129">
            <v>1271626.35096</v>
          </cell>
        </row>
        <row r="130">
          <cell r="U130">
            <v>91368.184770000007</v>
          </cell>
        </row>
        <row r="131">
          <cell r="U131">
            <v>465609.74692000001</v>
          </cell>
        </row>
        <row r="132">
          <cell r="U132">
            <v>696198.66014000005</v>
          </cell>
        </row>
        <row r="133">
          <cell r="U133">
            <v>656538.32067000004</v>
          </cell>
        </row>
        <row r="135">
          <cell r="U135">
            <v>910.18399999999997</v>
          </cell>
        </row>
        <row r="136">
          <cell r="U136">
            <v>476644.87459999998</v>
          </cell>
        </row>
        <row r="138">
          <cell r="U138">
            <v>1737870.5524600002</v>
          </cell>
        </row>
      </sheetData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2022"/>
      <sheetName val="2007-2017"/>
    </sheetNames>
    <sheetDataSet>
      <sheetData sheetId="0">
        <row r="7">
          <cell r="U7">
            <v>117.38888</v>
          </cell>
        </row>
        <row r="8">
          <cell r="U8">
            <v>3836528.8841800001</v>
          </cell>
        </row>
        <row r="10">
          <cell r="U10">
            <v>6038.21</v>
          </cell>
        </row>
        <row r="11">
          <cell r="U11">
            <v>0</v>
          </cell>
        </row>
        <row r="12">
          <cell r="U12">
            <v>0</v>
          </cell>
        </row>
        <row r="15">
          <cell r="U15">
            <v>3479132.9689500001</v>
          </cell>
        </row>
        <row r="16">
          <cell r="U16">
            <v>351357.60165999999</v>
          </cell>
        </row>
        <row r="17">
          <cell r="U17">
            <v>0.10357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1.294</v>
          </cell>
        </row>
        <row r="33">
          <cell r="U33">
            <v>0</v>
          </cell>
        </row>
        <row r="34">
          <cell r="U34">
            <v>0</v>
          </cell>
        </row>
        <row r="35">
          <cell r="U35">
            <v>0</v>
          </cell>
        </row>
        <row r="36">
          <cell r="U36">
            <v>69703.289210000003</v>
          </cell>
        </row>
        <row r="40">
          <cell r="U40">
            <v>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274878.20556999999</v>
          </cell>
        </row>
        <row r="44">
          <cell r="U44">
            <v>0</v>
          </cell>
        </row>
        <row r="47">
          <cell r="U47">
            <v>6154.8386799999998</v>
          </cell>
        </row>
        <row r="48">
          <cell r="U48">
            <v>8760.7579299999998</v>
          </cell>
        </row>
        <row r="49">
          <cell r="U49">
            <v>124171.10704</v>
          </cell>
        </row>
        <row r="50">
          <cell r="U50">
            <v>0</v>
          </cell>
        </row>
        <row r="51">
          <cell r="U51">
            <v>0</v>
          </cell>
        </row>
        <row r="57">
          <cell r="U57">
            <v>0</v>
          </cell>
        </row>
        <row r="58">
          <cell r="U58">
            <v>0</v>
          </cell>
        </row>
        <row r="60">
          <cell r="U60">
            <v>0</v>
          </cell>
        </row>
        <row r="61">
          <cell r="U61">
            <v>0</v>
          </cell>
        </row>
        <row r="62">
          <cell r="U62">
            <v>0</v>
          </cell>
        </row>
        <row r="65">
          <cell r="U65">
            <v>0</v>
          </cell>
        </row>
        <row r="66">
          <cell r="U66">
            <v>0</v>
          </cell>
        </row>
        <row r="67">
          <cell r="U67">
            <v>0</v>
          </cell>
        </row>
        <row r="69">
          <cell r="U69">
            <v>0</v>
          </cell>
        </row>
        <row r="70">
          <cell r="U70">
            <v>0</v>
          </cell>
        </row>
        <row r="71">
          <cell r="U71">
            <v>0</v>
          </cell>
        </row>
        <row r="72">
          <cell r="U72">
            <v>870358.96294999996</v>
          </cell>
        </row>
        <row r="73">
          <cell r="U73">
            <v>0</v>
          </cell>
        </row>
        <row r="75">
          <cell r="U75">
            <v>0</v>
          </cell>
        </row>
        <row r="76">
          <cell r="U76">
            <v>0</v>
          </cell>
        </row>
        <row r="77">
          <cell r="U77">
            <v>0</v>
          </cell>
        </row>
        <row r="78">
          <cell r="U78">
            <v>0</v>
          </cell>
        </row>
        <row r="81">
          <cell r="U81">
            <v>0</v>
          </cell>
        </row>
        <row r="82">
          <cell r="U82">
            <v>225000</v>
          </cell>
        </row>
        <row r="83">
          <cell r="U83">
            <v>102329.98192999999</v>
          </cell>
        </row>
        <row r="84">
          <cell r="U84">
            <v>0</v>
          </cell>
        </row>
        <row r="85">
          <cell r="U85">
            <v>0</v>
          </cell>
        </row>
        <row r="87">
          <cell r="U87">
            <v>6456.1382999999996</v>
          </cell>
        </row>
        <row r="88">
          <cell r="U88">
            <v>177444.71051999999</v>
          </cell>
        </row>
        <row r="94">
          <cell r="U94">
            <v>3736616.8419300001</v>
          </cell>
        </row>
        <row r="95">
          <cell r="U95">
            <v>747095.44402000005</v>
          </cell>
        </row>
        <row r="96">
          <cell r="U96">
            <v>4483712.2859500004</v>
          </cell>
        </row>
        <row r="99">
          <cell r="U99">
            <v>0</v>
          </cell>
        </row>
        <row r="100">
          <cell r="U100">
            <v>0</v>
          </cell>
        </row>
        <row r="101">
          <cell r="U101">
            <v>0</v>
          </cell>
        </row>
        <row r="102">
          <cell r="U102">
            <v>0</v>
          </cell>
        </row>
        <row r="103">
          <cell r="U103">
            <v>0</v>
          </cell>
        </row>
        <row r="104">
          <cell r="U104">
            <v>68.170339999999996</v>
          </cell>
        </row>
        <row r="105">
          <cell r="U105">
            <v>265770.2218</v>
          </cell>
        </row>
        <row r="106">
          <cell r="U106">
            <v>25.112020000000001</v>
          </cell>
        </row>
        <row r="109">
          <cell r="U109">
            <v>0</v>
          </cell>
        </row>
        <row r="110">
          <cell r="U110">
            <v>0</v>
          </cell>
        </row>
        <row r="111">
          <cell r="U111">
            <v>0</v>
          </cell>
        </row>
        <row r="112">
          <cell r="U112">
            <v>0</v>
          </cell>
        </row>
        <row r="113">
          <cell r="U113">
            <v>0</v>
          </cell>
        </row>
        <row r="114">
          <cell r="U114">
            <v>0</v>
          </cell>
        </row>
        <row r="115">
          <cell r="U115">
            <v>3470753.3377700001</v>
          </cell>
        </row>
        <row r="116">
          <cell r="U116">
            <v>0</v>
          </cell>
        </row>
        <row r="119">
          <cell r="U119">
            <v>0</v>
          </cell>
        </row>
        <row r="120">
          <cell r="U120">
            <v>0</v>
          </cell>
        </row>
        <row r="121">
          <cell r="U121">
            <v>0</v>
          </cell>
        </row>
        <row r="122">
          <cell r="U122">
            <v>0</v>
          </cell>
        </row>
        <row r="123">
          <cell r="U123">
            <v>0</v>
          </cell>
        </row>
        <row r="124">
          <cell r="U124">
            <v>0</v>
          </cell>
        </row>
        <row r="125">
          <cell r="U125">
            <v>0</v>
          </cell>
        </row>
        <row r="126">
          <cell r="U126">
            <v>0</v>
          </cell>
        </row>
        <row r="129">
          <cell r="U129">
            <v>0</v>
          </cell>
        </row>
        <row r="130">
          <cell r="U130">
            <v>26.696370000000002</v>
          </cell>
        </row>
        <row r="131">
          <cell r="U131">
            <v>744420.72256000002</v>
          </cell>
        </row>
        <row r="132">
          <cell r="U132">
            <v>0</v>
          </cell>
        </row>
        <row r="133">
          <cell r="U133">
            <v>2648.0250900000001</v>
          </cell>
        </row>
        <row r="135">
          <cell r="U135">
            <v>1071.6916200000001</v>
          </cell>
        </row>
        <row r="136">
          <cell r="U136">
            <v>428924.77586000005</v>
          </cell>
        </row>
        <row r="138">
          <cell r="U138">
            <v>788196.80576999998</v>
          </cell>
        </row>
      </sheetData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 - 2023"/>
      <sheetName val="2007 - 2017"/>
    </sheetNames>
    <sheetDataSet>
      <sheetData sheetId="0" refreshError="1">
        <row r="7">
          <cell r="V7">
            <v>93305.142879999999</v>
          </cell>
          <cell r="W7">
            <v>83201.855150000003</v>
          </cell>
        </row>
        <row r="8">
          <cell r="V8">
            <v>4089555.0889100004</v>
          </cell>
          <cell r="W8">
            <v>3913115.1902699997</v>
          </cell>
        </row>
        <row r="10">
          <cell r="V10">
            <v>36595.111219999999</v>
          </cell>
          <cell r="W10">
            <v>63316.784639999998</v>
          </cell>
        </row>
        <row r="11">
          <cell r="V11">
            <v>66644.573000000004</v>
          </cell>
          <cell r="W11">
            <v>63043.22</v>
          </cell>
        </row>
        <row r="12">
          <cell r="V12">
            <v>0</v>
          </cell>
          <cell r="W12">
            <v>0</v>
          </cell>
        </row>
        <row r="15">
          <cell r="V15">
            <v>2839450.07241</v>
          </cell>
          <cell r="W15">
            <v>2693409.9524599998</v>
          </cell>
        </row>
        <row r="16">
          <cell r="V16">
            <v>1141586.75728</v>
          </cell>
          <cell r="W16">
            <v>1086866.6631700001</v>
          </cell>
        </row>
        <row r="17">
          <cell r="V17">
            <v>5278.5749999999998</v>
          </cell>
          <cell r="W17">
            <v>6478.57</v>
          </cell>
        </row>
        <row r="18">
          <cell r="V18">
            <v>0</v>
          </cell>
          <cell r="W18">
            <v>0</v>
          </cell>
        </row>
        <row r="19">
          <cell r="V19">
            <v>0</v>
          </cell>
          <cell r="W19">
            <v>0</v>
          </cell>
        </row>
        <row r="23">
          <cell r="V23">
            <v>0</v>
          </cell>
          <cell r="W23">
            <v>0</v>
          </cell>
        </row>
        <row r="24">
          <cell r="V24">
            <v>0</v>
          </cell>
          <cell r="W24">
            <v>0</v>
          </cell>
        </row>
        <row r="25">
          <cell r="V25">
            <v>0</v>
          </cell>
          <cell r="W25">
            <v>0</v>
          </cell>
        </row>
        <row r="26">
          <cell r="V26">
            <v>0</v>
          </cell>
          <cell r="W26">
            <v>0</v>
          </cell>
        </row>
        <row r="27">
          <cell r="V27">
            <v>0</v>
          </cell>
          <cell r="W27">
            <v>0</v>
          </cell>
        </row>
        <row r="28">
          <cell r="V28">
            <v>0</v>
          </cell>
          <cell r="W28">
            <v>0</v>
          </cell>
        </row>
        <row r="29">
          <cell r="V29">
            <v>0</v>
          </cell>
          <cell r="W29">
            <v>0</v>
          </cell>
        </row>
        <row r="32">
          <cell r="V32">
            <v>660599.70799999998</v>
          </cell>
          <cell r="W32">
            <v>685394.24899999995</v>
          </cell>
        </row>
        <row r="33">
          <cell r="V33">
            <v>80401.183799999999</v>
          </cell>
          <cell r="W33">
            <v>36825.617709999999</v>
          </cell>
        </row>
        <row r="34">
          <cell r="V34">
            <v>445614.97892000002</v>
          </cell>
          <cell r="W34">
            <v>436244.79811999999</v>
          </cell>
        </row>
        <row r="35">
          <cell r="V35">
            <v>70951.187969999999</v>
          </cell>
          <cell r="W35">
            <v>59901.954879999998</v>
          </cell>
        </row>
        <row r="36">
          <cell r="V36">
            <v>3478973.0073699998</v>
          </cell>
          <cell r="W36">
            <v>3610952.2233899999</v>
          </cell>
        </row>
        <row r="40">
          <cell r="V40">
            <v>100</v>
          </cell>
          <cell r="W40">
            <v>100</v>
          </cell>
        </row>
        <row r="41">
          <cell r="V41">
            <v>0</v>
          </cell>
          <cell r="W41">
            <v>0</v>
          </cell>
        </row>
        <row r="42">
          <cell r="V42">
            <v>0</v>
          </cell>
          <cell r="W42">
            <v>0</v>
          </cell>
        </row>
        <row r="43">
          <cell r="V43">
            <v>12938.80243</v>
          </cell>
          <cell r="W43">
            <v>13529.04443</v>
          </cell>
        </row>
        <row r="44">
          <cell r="V44">
            <v>0</v>
          </cell>
          <cell r="W44">
            <v>0</v>
          </cell>
        </row>
        <row r="47">
          <cell r="V47">
            <v>77623</v>
          </cell>
          <cell r="W47">
            <v>100512.62699999999</v>
          </cell>
        </row>
        <row r="48">
          <cell r="V48">
            <v>0</v>
          </cell>
          <cell r="W48">
            <v>0</v>
          </cell>
        </row>
        <row r="49">
          <cell r="V49">
            <v>17.272639999999999</v>
          </cell>
          <cell r="W49">
            <v>17.272639999999999</v>
          </cell>
        </row>
        <row r="50">
          <cell r="V50">
            <v>0</v>
          </cell>
          <cell r="W50">
            <v>0</v>
          </cell>
        </row>
        <row r="51">
          <cell r="V51">
            <v>171262.64199999999</v>
          </cell>
          <cell r="W51">
            <v>171910.83</v>
          </cell>
        </row>
        <row r="57">
          <cell r="V57">
            <v>488437.30926000001</v>
          </cell>
          <cell r="W57">
            <v>467683.96325999999</v>
          </cell>
        </row>
        <row r="58">
          <cell r="V58">
            <v>24877.5825</v>
          </cell>
          <cell r="W58">
            <v>24682.619330000001</v>
          </cell>
        </row>
        <row r="60">
          <cell r="V60">
            <v>248960.80436000001</v>
          </cell>
          <cell r="W60">
            <v>280528.92608</v>
          </cell>
        </row>
        <row r="61">
          <cell r="V61">
            <v>173431.68698999999</v>
          </cell>
          <cell r="W61">
            <v>180021.46317</v>
          </cell>
        </row>
        <row r="62">
          <cell r="V62">
            <v>949070.06917999999</v>
          </cell>
          <cell r="W62">
            <v>901805.37580000004</v>
          </cell>
        </row>
        <row r="65">
          <cell r="V65">
            <v>0</v>
          </cell>
          <cell r="W65">
            <v>0</v>
          </cell>
        </row>
        <row r="66">
          <cell r="V66">
            <v>2.08067</v>
          </cell>
          <cell r="W66">
            <v>15.04604</v>
          </cell>
        </row>
        <row r="67">
          <cell r="V67">
            <v>0</v>
          </cell>
          <cell r="W67">
            <v>0</v>
          </cell>
        </row>
        <row r="69">
          <cell r="V69">
            <v>4146.7897199999998</v>
          </cell>
          <cell r="W69">
            <v>4086.0783200000001</v>
          </cell>
        </row>
        <row r="70">
          <cell r="V70">
            <v>10.08771</v>
          </cell>
          <cell r="W70">
            <v>1.7481199999999999</v>
          </cell>
        </row>
        <row r="71">
          <cell r="V71">
            <v>0.99885999999999997</v>
          </cell>
          <cell r="W71">
            <v>2.4862199999999999</v>
          </cell>
        </row>
        <row r="72">
          <cell r="V72">
            <v>13594.16337</v>
          </cell>
          <cell r="W72">
            <v>12272.488890000001</v>
          </cell>
        </row>
        <row r="73">
          <cell r="V73">
            <v>3661.9387999999999</v>
          </cell>
          <cell r="W73">
            <v>11.50732</v>
          </cell>
        </row>
        <row r="75">
          <cell r="V75">
            <v>2617055.70518</v>
          </cell>
          <cell r="W75">
            <v>2606043.31256</v>
          </cell>
        </row>
        <row r="76">
          <cell r="V76">
            <v>67167.564129999999</v>
          </cell>
          <cell r="W76">
            <v>65886.929669999998</v>
          </cell>
        </row>
        <row r="77">
          <cell r="V77">
            <v>3387.0640699999999</v>
          </cell>
          <cell r="W77">
            <v>3144.3594600000001</v>
          </cell>
        </row>
        <row r="78">
          <cell r="V78">
            <v>272990.27535000001</v>
          </cell>
          <cell r="W78">
            <v>268379.03340999997</v>
          </cell>
        </row>
        <row r="81">
          <cell r="V81">
            <v>30165</v>
          </cell>
          <cell r="W81">
            <v>30840</v>
          </cell>
        </row>
        <row r="82">
          <cell r="V82">
            <v>0</v>
          </cell>
          <cell r="W82">
            <v>38.026000000000003</v>
          </cell>
        </row>
        <row r="83">
          <cell r="V83">
            <v>45064.530650000001</v>
          </cell>
          <cell r="W83">
            <v>49751.324139999997</v>
          </cell>
        </row>
        <row r="84">
          <cell r="V84">
            <v>524646.58433999994</v>
          </cell>
          <cell r="W84">
            <v>503373.97574999998</v>
          </cell>
        </row>
        <row r="85">
          <cell r="V85">
            <v>437206.08755</v>
          </cell>
          <cell r="W85">
            <v>437535.19945999997</v>
          </cell>
        </row>
        <row r="87">
          <cell r="V87">
            <v>197247.63333000001</v>
          </cell>
          <cell r="W87">
            <v>193070.25899</v>
          </cell>
        </row>
        <row r="88">
          <cell r="V88">
            <v>175954.45860000001</v>
          </cell>
          <cell r="W88">
            <v>216456.97727999999</v>
          </cell>
        </row>
        <row r="94">
          <cell r="V94">
            <v>10039119.254220001</v>
          </cell>
          <cell r="W94">
            <v>9781769.3290800005</v>
          </cell>
        </row>
        <row r="95">
          <cell r="V95">
            <v>3368098.55522</v>
          </cell>
          <cell r="W95">
            <v>3399982.75765</v>
          </cell>
        </row>
        <row r="96">
          <cell r="V96">
            <v>13407217.809440002</v>
          </cell>
          <cell r="W96">
            <v>13181752.08673</v>
          </cell>
        </row>
        <row r="99">
          <cell r="V99">
            <v>13006.70995</v>
          </cell>
          <cell r="W99">
            <v>5674.5570399999997</v>
          </cell>
        </row>
        <row r="100">
          <cell r="V100">
            <v>153887.79590999999</v>
          </cell>
          <cell r="W100">
            <v>161335.93531</v>
          </cell>
        </row>
        <row r="101">
          <cell r="V101">
            <v>1835679.8994700001</v>
          </cell>
          <cell r="W101">
            <v>1553235.7877100001</v>
          </cell>
        </row>
        <row r="102">
          <cell r="V102">
            <v>5.9649000000000001</v>
          </cell>
          <cell r="W102">
            <v>6</v>
          </cell>
        </row>
        <row r="103">
          <cell r="V103">
            <v>26733.969160000001</v>
          </cell>
          <cell r="W103">
            <v>28763.8537</v>
          </cell>
        </row>
        <row r="104">
          <cell r="V104">
            <v>91123.923169999995</v>
          </cell>
          <cell r="W104">
            <v>95148.293260000006</v>
          </cell>
        </row>
        <row r="105">
          <cell r="V105">
            <v>1612609.2344800001</v>
          </cell>
          <cell r="W105">
            <v>1538596.9503899999</v>
          </cell>
        </row>
        <row r="106">
          <cell r="V106">
            <v>568319.29448000004</v>
          </cell>
          <cell r="W106">
            <v>540497.16241999995</v>
          </cell>
        </row>
        <row r="109">
          <cell r="V109">
            <v>6278.9618799999998</v>
          </cell>
          <cell r="W109">
            <v>7406.9768000000004</v>
          </cell>
        </row>
        <row r="110">
          <cell r="V110">
            <v>19264.078300000001</v>
          </cell>
          <cell r="W110">
            <v>19560.27375</v>
          </cell>
        </row>
        <row r="111">
          <cell r="V111">
            <v>935074.60884</v>
          </cell>
          <cell r="W111">
            <v>890643.41601000004</v>
          </cell>
        </row>
        <row r="112">
          <cell r="V112">
            <v>27842.971689999998</v>
          </cell>
          <cell r="W112">
            <v>30783.952929999999</v>
          </cell>
        </row>
        <row r="113">
          <cell r="V113">
            <v>34195.812859999998</v>
          </cell>
          <cell r="W113">
            <v>40425.47896</v>
          </cell>
        </row>
        <row r="114">
          <cell r="V114">
            <v>5329.5078000000003</v>
          </cell>
          <cell r="W114">
            <v>2861.54601</v>
          </cell>
        </row>
        <row r="115">
          <cell r="V115">
            <v>1093557.9816000001</v>
          </cell>
          <cell r="W115">
            <v>1039159.35132</v>
          </cell>
        </row>
        <row r="116">
          <cell r="V116">
            <v>1545896.0635500001</v>
          </cell>
          <cell r="W116">
            <v>1528465.95636</v>
          </cell>
        </row>
        <row r="119">
          <cell r="V119">
            <v>528864.82522999996</v>
          </cell>
          <cell r="W119">
            <v>619446.45455999998</v>
          </cell>
        </row>
        <row r="120">
          <cell r="V120">
            <v>116094.76357</v>
          </cell>
          <cell r="W120">
            <v>128082.73413</v>
          </cell>
        </row>
        <row r="121">
          <cell r="V121">
            <v>471342.09522000002</v>
          </cell>
          <cell r="W121">
            <v>548976.98956999998</v>
          </cell>
        </row>
        <row r="122">
          <cell r="V122">
            <v>8146.81</v>
          </cell>
          <cell r="W122">
            <v>8203.0560000000005</v>
          </cell>
        </row>
        <row r="123">
          <cell r="V123">
            <v>66664.67194</v>
          </cell>
          <cell r="W123">
            <v>55464.455539999995</v>
          </cell>
        </row>
        <row r="124">
          <cell r="V124">
            <v>11192.57956</v>
          </cell>
          <cell r="W124">
            <v>15399.1608</v>
          </cell>
        </row>
        <row r="125">
          <cell r="V125">
            <v>326154.18641999998</v>
          </cell>
          <cell r="W125">
            <v>337527.75325000001</v>
          </cell>
        </row>
        <row r="126">
          <cell r="V126">
            <v>541852.54423999996</v>
          </cell>
          <cell r="W126">
            <v>586103.23326000001</v>
          </cell>
        </row>
        <row r="129">
          <cell r="V129">
            <v>1387373.79816</v>
          </cell>
          <cell r="W129">
            <v>1541481.5098900001</v>
          </cell>
        </row>
        <row r="130">
          <cell r="V130">
            <v>13665.99172</v>
          </cell>
          <cell r="W130">
            <v>10850.422930000001</v>
          </cell>
        </row>
        <row r="131">
          <cell r="V131">
            <v>481925.07425000001</v>
          </cell>
          <cell r="W131">
            <v>429110.97331999999</v>
          </cell>
        </row>
        <row r="132">
          <cell r="V132">
            <v>845798.27078999998</v>
          </cell>
          <cell r="W132">
            <v>750634.99028000003</v>
          </cell>
        </row>
        <row r="133">
          <cell r="V133">
            <v>639335.4203</v>
          </cell>
          <cell r="W133">
            <v>667904.86123000004</v>
          </cell>
        </row>
        <row r="135">
          <cell r="V135">
            <v>7894.9523300000001</v>
          </cell>
          <cell r="W135">
            <v>1479.9580000000001</v>
          </cell>
        </row>
        <row r="136">
          <cell r="V136">
            <v>212776.37021999998</v>
          </cell>
          <cell r="W136">
            <v>225983.80893999999</v>
          </cell>
        </row>
        <row r="138">
          <cell r="V138">
            <v>1830531.29755</v>
          </cell>
          <cell r="W138">
            <v>1948120.90974</v>
          </cell>
        </row>
      </sheetData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-2023"/>
      <sheetName val="2007-2017"/>
    </sheetNames>
    <sheetDataSet>
      <sheetData sheetId="0" refreshError="1">
        <row r="7">
          <cell r="V7">
            <v>117.22766</v>
          </cell>
          <cell r="W7">
            <v>117.05692999999999</v>
          </cell>
        </row>
        <row r="8">
          <cell r="V8">
            <v>3558332.3627999993</v>
          </cell>
          <cell r="W8">
            <v>4415619.8425900005</v>
          </cell>
        </row>
        <row r="10">
          <cell r="V10">
            <v>17690.222470000001</v>
          </cell>
          <cell r="W10">
            <v>47475.698060000002</v>
          </cell>
        </row>
        <row r="11">
          <cell r="V11">
            <v>0</v>
          </cell>
          <cell r="W11">
            <v>0</v>
          </cell>
        </row>
        <row r="12">
          <cell r="V12">
            <v>0</v>
          </cell>
          <cell r="W12">
            <v>0</v>
          </cell>
        </row>
        <row r="15">
          <cell r="V15">
            <v>3425223.7222699998</v>
          </cell>
          <cell r="W15">
            <v>4239297.5690000001</v>
          </cell>
        </row>
        <row r="16">
          <cell r="V16">
            <v>115418.31449</v>
          </cell>
          <cell r="W16">
            <v>128846.57553</v>
          </cell>
        </row>
        <row r="17">
          <cell r="V17">
            <v>0.10357</v>
          </cell>
          <cell r="W17">
            <v>0</v>
          </cell>
        </row>
        <row r="18">
          <cell r="V18">
            <v>0</v>
          </cell>
          <cell r="W18">
            <v>0</v>
          </cell>
        </row>
        <row r="19">
          <cell r="V19">
            <v>0</v>
          </cell>
          <cell r="W19">
            <v>0</v>
          </cell>
        </row>
        <row r="23">
          <cell r="V23">
            <v>0</v>
          </cell>
          <cell r="W23">
            <v>0</v>
          </cell>
        </row>
        <row r="24">
          <cell r="V24">
            <v>0</v>
          </cell>
          <cell r="W24">
            <v>0</v>
          </cell>
        </row>
        <row r="25">
          <cell r="V25">
            <v>0</v>
          </cell>
          <cell r="W25">
            <v>0</v>
          </cell>
        </row>
        <row r="26">
          <cell r="V26">
            <v>0</v>
          </cell>
          <cell r="W26">
            <v>0</v>
          </cell>
        </row>
        <row r="27">
          <cell r="V27">
            <v>0</v>
          </cell>
          <cell r="W27">
            <v>0</v>
          </cell>
        </row>
        <row r="28">
          <cell r="V28">
            <v>0</v>
          </cell>
          <cell r="W28">
            <v>0</v>
          </cell>
        </row>
        <row r="29">
          <cell r="V29">
            <v>0</v>
          </cell>
          <cell r="W29">
            <v>0</v>
          </cell>
        </row>
        <row r="32">
          <cell r="V32">
            <v>1.294</v>
          </cell>
          <cell r="W32">
            <v>1.294</v>
          </cell>
        </row>
        <row r="33">
          <cell r="V33">
            <v>0</v>
          </cell>
          <cell r="W33">
            <v>0</v>
          </cell>
        </row>
        <row r="34">
          <cell r="V34">
            <v>0</v>
          </cell>
          <cell r="W34">
            <v>0</v>
          </cell>
        </row>
        <row r="35">
          <cell r="V35">
            <v>0</v>
          </cell>
          <cell r="W35">
            <v>0</v>
          </cell>
        </row>
        <row r="36">
          <cell r="V36">
            <v>69624.586129999996</v>
          </cell>
          <cell r="W36">
            <v>69559.224019999994</v>
          </cell>
        </row>
        <row r="40">
          <cell r="V40">
            <v>0</v>
          </cell>
          <cell r="W40">
            <v>0</v>
          </cell>
        </row>
        <row r="41">
          <cell r="V41">
            <v>0</v>
          </cell>
          <cell r="W41">
            <v>0</v>
          </cell>
        </row>
        <row r="42">
          <cell r="V42">
            <v>0</v>
          </cell>
          <cell r="W42">
            <v>0</v>
          </cell>
        </row>
        <row r="43">
          <cell r="V43">
            <v>19894.779210000001</v>
          </cell>
          <cell r="W43">
            <v>15354.775970000001</v>
          </cell>
        </row>
        <row r="44">
          <cell r="V44">
            <v>0</v>
          </cell>
          <cell r="W44">
            <v>0</v>
          </cell>
        </row>
        <row r="47">
          <cell r="V47">
            <v>29411.313709999999</v>
          </cell>
          <cell r="W47">
            <v>20145.738079999999</v>
          </cell>
        </row>
        <row r="48">
          <cell r="V48">
            <v>164009.19662</v>
          </cell>
          <cell r="W48">
            <v>52872.770080000002</v>
          </cell>
        </row>
        <row r="49">
          <cell r="V49">
            <v>1324.5943600000001</v>
          </cell>
          <cell r="W49">
            <v>1408.28386</v>
          </cell>
        </row>
        <row r="50">
          <cell r="V50">
            <v>0</v>
          </cell>
          <cell r="W50">
            <v>0</v>
          </cell>
        </row>
        <row r="51">
          <cell r="V51">
            <v>0</v>
          </cell>
          <cell r="W51">
            <v>0</v>
          </cell>
        </row>
        <row r="57">
          <cell r="V57">
            <v>0</v>
          </cell>
          <cell r="W57">
            <v>0</v>
          </cell>
        </row>
        <row r="58">
          <cell r="V58">
            <v>0</v>
          </cell>
          <cell r="W58">
            <v>0</v>
          </cell>
        </row>
        <row r="60">
          <cell r="V60">
            <v>0</v>
          </cell>
          <cell r="W60">
            <v>0</v>
          </cell>
        </row>
        <row r="61">
          <cell r="V61">
            <v>0</v>
          </cell>
          <cell r="W61">
            <v>0</v>
          </cell>
        </row>
        <row r="62">
          <cell r="V62">
            <v>0</v>
          </cell>
          <cell r="W62">
            <v>0</v>
          </cell>
        </row>
        <row r="65">
          <cell r="V65">
            <v>0</v>
          </cell>
          <cell r="W65">
            <v>0</v>
          </cell>
        </row>
        <row r="66">
          <cell r="V66">
            <v>0</v>
          </cell>
          <cell r="W66">
            <v>0</v>
          </cell>
        </row>
        <row r="67">
          <cell r="V67">
            <v>0</v>
          </cell>
          <cell r="W67">
            <v>0</v>
          </cell>
        </row>
        <row r="69">
          <cell r="V69">
            <v>0</v>
          </cell>
          <cell r="W69">
            <v>0</v>
          </cell>
        </row>
        <row r="70">
          <cell r="V70">
            <v>0</v>
          </cell>
          <cell r="W70">
            <v>0</v>
          </cell>
        </row>
        <row r="71">
          <cell r="V71">
            <v>0</v>
          </cell>
          <cell r="W71">
            <v>0</v>
          </cell>
        </row>
        <row r="72">
          <cell r="V72">
            <v>952606.64956000005</v>
          </cell>
          <cell r="W72">
            <v>652236.88153000001</v>
          </cell>
        </row>
        <row r="73">
          <cell r="V73">
            <v>0</v>
          </cell>
          <cell r="W73">
            <v>0</v>
          </cell>
        </row>
        <row r="75">
          <cell r="V75">
            <v>0</v>
          </cell>
          <cell r="W75">
            <v>0</v>
          </cell>
        </row>
        <row r="76">
          <cell r="V76">
            <v>0</v>
          </cell>
          <cell r="W76">
            <v>0</v>
          </cell>
        </row>
        <row r="77">
          <cell r="V77">
            <v>0</v>
          </cell>
          <cell r="W77">
            <v>0</v>
          </cell>
        </row>
        <row r="78">
          <cell r="V78">
            <v>0</v>
          </cell>
          <cell r="W78">
            <v>0</v>
          </cell>
        </row>
        <row r="81">
          <cell r="V81">
            <v>0</v>
          </cell>
          <cell r="W81">
            <v>0</v>
          </cell>
        </row>
        <row r="82">
          <cell r="V82">
            <v>475000</v>
          </cell>
          <cell r="W82">
            <v>450000</v>
          </cell>
        </row>
        <row r="83">
          <cell r="V83">
            <v>28744.609649999999</v>
          </cell>
          <cell r="W83">
            <v>362585.33704000001</v>
          </cell>
        </row>
        <row r="84">
          <cell r="V84">
            <v>0</v>
          </cell>
          <cell r="W84">
            <v>0</v>
          </cell>
        </row>
        <row r="85">
          <cell r="V85">
            <v>1204.5314900000001</v>
          </cell>
          <cell r="W85">
            <v>951.99887999999999</v>
          </cell>
        </row>
        <row r="87">
          <cell r="V87">
            <v>6037.2892300000003</v>
          </cell>
          <cell r="W87">
            <v>5669.9458199999999</v>
          </cell>
        </row>
        <row r="88">
          <cell r="V88">
            <v>181606.38910999999</v>
          </cell>
          <cell r="W88">
            <v>198821.58808999998</v>
          </cell>
        </row>
        <row r="94">
          <cell r="V94">
            <v>3613189.5892500002</v>
          </cell>
          <cell r="W94">
            <v>4240201.1514800005</v>
          </cell>
        </row>
        <row r="95">
          <cell r="V95">
            <v>721955.16813999997</v>
          </cell>
          <cell r="W95">
            <v>968493.98479999998</v>
          </cell>
        </row>
        <row r="96">
          <cell r="V96">
            <v>4335144.7573899999</v>
          </cell>
          <cell r="W96">
            <v>5208695.1362800002</v>
          </cell>
        </row>
        <row r="99">
          <cell r="V99">
            <v>0</v>
          </cell>
          <cell r="W99">
            <v>0</v>
          </cell>
        </row>
        <row r="100">
          <cell r="V100">
            <v>0</v>
          </cell>
          <cell r="W100">
            <v>0</v>
          </cell>
        </row>
        <row r="101">
          <cell r="V101">
            <v>0</v>
          </cell>
          <cell r="W101">
            <v>0</v>
          </cell>
        </row>
        <row r="102">
          <cell r="V102">
            <v>0</v>
          </cell>
          <cell r="W102">
            <v>0</v>
          </cell>
        </row>
        <row r="103">
          <cell r="V103">
            <v>0</v>
          </cell>
          <cell r="W103">
            <v>0</v>
          </cell>
        </row>
        <row r="104">
          <cell r="V104">
            <v>109.90304</v>
          </cell>
          <cell r="W104">
            <v>75.014309999999995</v>
          </cell>
        </row>
        <row r="105">
          <cell r="V105">
            <v>219747.60779000001</v>
          </cell>
          <cell r="W105">
            <v>199448.75156</v>
          </cell>
        </row>
        <row r="106">
          <cell r="V106">
            <v>39.770859999999999</v>
          </cell>
          <cell r="W106">
            <v>24.770820000000001</v>
          </cell>
        </row>
        <row r="109">
          <cell r="V109">
            <v>0</v>
          </cell>
          <cell r="W109">
            <v>0</v>
          </cell>
        </row>
        <row r="110">
          <cell r="V110">
            <v>0</v>
          </cell>
          <cell r="W110">
            <v>0</v>
          </cell>
        </row>
        <row r="111">
          <cell r="V111">
            <v>0</v>
          </cell>
          <cell r="W111">
            <v>0</v>
          </cell>
        </row>
        <row r="112">
          <cell r="V112">
            <v>0</v>
          </cell>
          <cell r="W112">
            <v>0</v>
          </cell>
        </row>
        <row r="113">
          <cell r="V113">
            <v>0</v>
          </cell>
          <cell r="W113">
            <v>0</v>
          </cell>
        </row>
        <row r="114">
          <cell r="V114">
            <v>0</v>
          </cell>
          <cell r="W114">
            <v>0</v>
          </cell>
        </row>
        <row r="115">
          <cell r="V115">
            <v>3393292.3075600001</v>
          </cell>
          <cell r="W115">
            <v>4040652.61479</v>
          </cell>
        </row>
        <row r="116">
          <cell r="V116">
            <v>0</v>
          </cell>
          <cell r="W116">
            <v>0</v>
          </cell>
        </row>
        <row r="119">
          <cell r="V119">
            <v>0</v>
          </cell>
          <cell r="W119">
            <v>0</v>
          </cell>
        </row>
        <row r="120">
          <cell r="V120">
            <v>0</v>
          </cell>
          <cell r="W120">
            <v>0</v>
          </cell>
        </row>
        <row r="121">
          <cell r="V121">
            <v>0</v>
          </cell>
          <cell r="W121">
            <v>0</v>
          </cell>
        </row>
        <row r="122">
          <cell r="V122">
            <v>0</v>
          </cell>
          <cell r="W122">
            <v>0</v>
          </cell>
        </row>
        <row r="123">
          <cell r="V123">
            <v>0</v>
          </cell>
          <cell r="W123">
            <v>0</v>
          </cell>
        </row>
        <row r="124">
          <cell r="V124">
            <v>0</v>
          </cell>
          <cell r="W124">
            <v>0</v>
          </cell>
        </row>
        <row r="125">
          <cell r="V125">
            <v>0</v>
          </cell>
          <cell r="W125">
            <v>0</v>
          </cell>
        </row>
        <row r="126">
          <cell r="V126">
            <v>0</v>
          </cell>
          <cell r="W126">
            <v>0</v>
          </cell>
        </row>
        <row r="129">
          <cell r="V129">
            <v>0</v>
          </cell>
          <cell r="W129">
            <v>0</v>
          </cell>
        </row>
        <row r="130">
          <cell r="V130">
            <v>2367.5286599999999</v>
          </cell>
          <cell r="W130">
            <v>87.72</v>
          </cell>
        </row>
        <row r="131">
          <cell r="V131">
            <v>715774.52775000001</v>
          </cell>
          <cell r="W131">
            <v>963791.48548999999</v>
          </cell>
        </row>
        <row r="132">
          <cell r="V132">
            <v>0</v>
          </cell>
          <cell r="W132">
            <v>0</v>
          </cell>
        </row>
        <row r="133">
          <cell r="V133">
            <v>3813.1117300000001</v>
          </cell>
          <cell r="W133">
            <v>4614.7793099999999</v>
          </cell>
        </row>
        <row r="135">
          <cell r="V135">
            <v>119525.6489</v>
          </cell>
          <cell r="W135">
            <v>105214.67363</v>
          </cell>
        </row>
        <row r="136">
          <cell r="V136">
            <v>252291.30132000003</v>
          </cell>
          <cell r="W136">
            <v>127138.80392999981</v>
          </cell>
        </row>
        <row r="138">
          <cell r="V138">
            <v>780953.01234999998</v>
          </cell>
          <cell r="W138">
            <v>804296.12150000001</v>
          </cell>
        </row>
      </sheetData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 - 2023"/>
      <sheetName val="2007 - 2017"/>
    </sheetNames>
    <sheetDataSet>
      <sheetData sheetId="0">
        <row r="7">
          <cell r="X7">
            <v>85000.344700000001</v>
          </cell>
        </row>
        <row r="8">
          <cell r="X8">
            <v>4292009.8723600004</v>
          </cell>
        </row>
        <row r="10">
          <cell r="X10">
            <v>49702.917999999998</v>
          </cell>
        </row>
        <row r="11">
          <cell r="X11">
            <v>45926.375</v>
          </cell>
        </row>
        <row r="12">
          <cell r="X12">
            <v>3001.8273199999999</v>
          </cell>
        </row>
        <row r="15">
          <cell r="X15">
            <v>3018859.8944299999</v>
          </cell>
        </row>
        <row r="16">
          <cell r="X16">
            <v>1166367.47361</v>
          </cell>
        </row>
        <row r="17">
          <cell r="X17">
            <v>8151.384</v>
          </cell>
        </row>
        <row r="18">
          <cell r="X18">
            <v>0</v>
          </cell>
        </row>
        <row r="19">
          <cell r="X19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2">
          <cell r="X32">
            <v>719166.66</v>
          </cell>
        </row>
        <row r="33">
          <cell r="X33">
            <v>146581.99557999999</v>
          </cell>
        </row>
        <row r="34">
          <cell r="X34">
            <v>525576.24835000001</v>
          </cell>
        </row>
        <row r="35">
          <cell r="X35">
            <v>143267.86246</v>
          </cell>
        </row>
        <row r="36">
          <cell r="X36">
            <v>3628228.87408</v>
          </cell>
        </row>
        <row r="40">
          <cell r="X40">
            <v>100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10651.506429999999</v>
          </cell>
        </row>
        <row r="44">
          <cell r="X44">
            <v>0</v>
          </cell>
        </row>
        <row r="47">
          <cell r="X47">
            <v>100512.62699999999</v>
          </cell>
        </row>
        <row r="48">
          <cell r="X48">
            <v>0</v>
          </cell>
        </row>
        <row r="49">
          <cell r="X49">
            <v>17.272639999999999</v>
          </cell>
        </row>
        <row r="50">
          <cell r="X50">
            <v>0</v>
          </cell>
        </row>
        <row r="51">
          <cell r="X51">
            <v>0</v>
          </cell>
        </row>
        <row r="57">
          <cell r="X57">
            <v>494458.05468</v>
          </cell>
        </row>
        <row r="58">
          <cell r="X58">
            <v>21218.652590000002</v>
          </cell>
        </row>
        <row r="60">
          <cell r="X60">
            <v>276363.84817000001</v>
          </cell>
        </row>
        <row r="61">
          <cell r="X61">
            <v>179200.16905999999</v>
          </cell>
        </row>
        <row r="62">
          <cell r="X62">
            <v>957018.76165</v>
          </cell>
        </row>
        <row r="65">
          <cell r="X65">
            <v>0</v>
          </cell>
        </row>
        <row r="66">
          <cell r="X66">
            <v>20.89508</v>
          </cell>
        </row>
        <row r="67">
          <cell r="X67">
            <v>30.88</v>
          </cell>
        </row>
        <row r="69">
          <cell r="X69">
            <v>2420.0156999999999</v>
          </cell>
        </row>
        <row r="70">
          <cell r="X70">
            <v>1.0572299999999999</v>
          </cell>
        </row>
        <row r="71">
          <cell r="X71">
            <v>39.042160000000003</v>
          </cell>
        </row>
        <row r="72">
          <cell r="X72">
            <v>11685.26916</v>
          </cell>
        </row>
        <row r="73">
          <cell r="X73">
            <v>0</v>
          </cell>
        </row>
        <row r="75">
          <cell r="X75">
            <v>2611046.93768</v>
          </cell>
        </row>
        <row r="76">
          <cell r="X76">
            <v>65867.095920000007</v>
          </cell>
        </row>
        <row r="77">
          <cell r="X77">
            <v>3110.5535399999999</v>
          </cell>
        </row>
        <row r="78">
          <cell r="X78">
            <v>275654.69253</v>
          </cell>
        </row>
        <row r="81">
          <cell r="X81">
            <v>31735</v>
          </cell>
        </row>
        <row r="82">
          <cell r="X82">
            <v>4.0000000000000002E-4</v>
          </cell>
        </row>
        <row r="83">
          <cell r="X83">
            <v>48617.722269999998</v>
          </cell>
        </row>
        <row r="84">
          <cell r="X84">
            <v>432423.93764999998</v>
          </cell>
        </row>
        <row r="85">
          <cell r="X85">
            <v>430015.96343</v>
          </cell>
        </row>
        <row r="87">
          <cell r="X87">
            <v>204866.87474999999</v>
          </cell>
        </row>
        <row r="88">
          <cell r="X88">
            <v>126762.58459</v>
          </cell>
        </row>
        <row r="94">
          <cell r="X94">
            <v>10040908.939240001</v>
          </cell>
        </row>
        <row r="95">
          <cell r="X95">
            <v>3522930.0628399998</v>
          </cell>
        </row>
        <row r="96">
          <cell r="X96">
            <v>13563839.002080001</v>
          </cell>
        </row>
        <row r="99">
          <cell r="X99">
            <v>17342.730049999998</v>
          </cell>
        </row>
        <row r="100">
          <cell r="X100">
            <v>168814.87215000001</v>
          </cell>
        </row>
        <row r="101">
          <cell r="X101">
            <v>1496444.6855299999</v>
          </cell>
        </row>
        <row r="102">
          <cell r="X102">
            <v>6</v>
          </cell>
        </row>
        <row r="103">
          <cell r="X103">
            <v>15391.73934</v>
          </cell>
        </row>
        <row r="104">
          <cell r="X104">
            <v>98948.668369999999</v>
          </cell>
        </row>
        <row r="105">
          <cell r="X105">
            <v>1603871.16713</v>
          </cell>
        </row>
        <row r="106">
          <cell r="X106">
            <v>533872.22261000006</v>
          </cell>
        </row>
        <row r="109">
          <cell r="X109">
            <v>2138.4170199999999</v>
          </cell>
        </row>
        <row r="110">
          <cell r="X110">
            <v>26085.204040000001</v>
          </cell>
        </row>
        <row r="111">
          <cell r="X111">
            <v>821219.53391999996</v>
          </cell>
        </row>
        <row r="112">
          <cell r="X112">
            <v>13981.31511</v>
          </cell>
        </row>
        <row r="113">
          <cell r="X113">
            <v>50254.749089999998</v>
          </cell>
        </row>
        <row r="114">
          <cell r="X114">
            <v>2898.04232</v>
          </cell>
        </row>
        <row r="115">
          <cell r="X115">
            <v>1041305.18299</v>
          </cell>
        </row>
        <row r="116">
          <cell r="X116">
            <v>1505504.0706499999</v>
          </cell>
        </row>
        <row r="119">
          <cell r="X119">
            <v>757577.57510000002</v>
          </cell>
        </row>
        <row r="120">
          <cell r="X120">
            <v>140948.04246</v>
          </cell>
        </row>
        <row r="121">
          <cell r="X121">
            <v>615210.39295000001</v>
          </cell>
        </row>
        <row r="122">
          <cell r="X122">
            <v>21986.335999999999</v>
          </cell>
        </row>
        <row r="123">
          <cell r="X123">
            <v>79266.829689999999</v>
          </cell>
        </row>
        <row r="124">
          <cell r="X124">
            <v>17427.58915</v>
          </cell>
        </row>
        <row r="125">
          <cell r="X125">
            <v>388962.27607999998</v>
          </cell>
        </row>
        <row r="126">
          <cell r="X126">
            <v>621451.29749000003</v>
          </cell>
        </row>
        <row r="129">
          <cell r="X129">
            <v>1567121.7536899999</v>
          </cell>
        </row>
        <row r="130">
          <cell r="X130">
            <v>18761.263620000002</v>
          </cell>
        </row>
        <row r="131">
          <cell r="X131">
            <v>435810.42499000003</v>
          </cell>
        </row>
        <row r="132">
          <cell r="X132">
            <v>733035.21398999996</v>
          </cell>
        </row>
        <row r="133">
          <cell r="X133">
            <v>768201.40654999996</v>
          </cell>
        </row>
        <row r="135">
          <cell r="X135">
            <v>1812.12</v>
          </cell>
        </row>
        <row r="136">
          <cell r="X136">
            <v>227405.81352999998</v>
          </cell>
        </row>
        <row r="138">
          <cell r="X138">
            <v>2030614.33623</v>
          </cell>
        </row>
      </sheetData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2023"/>
      <sheetName val="2007-2017"/>
    </sheetNames>
    <sheetDataSet>
      <sheetData sheetId="0">
        <row r="7">
          <cell r="X7">
            <v>116.22978999999999</v>
          </cell>
        </row>
        <row r="8">
          <cell r="X8">
            <v>3317466.5318499999</v>
          </cell>
        </row>
        <row r="10">
          <cell r="X10">
            <v>42917.745690000003</v>
          </cell>
        </row>
        <row r="11">
          <cell r="X11">
            <v>0</v>
          </cell>
        </row>
        <row r="12">
          <cell r="X12">
            <v>0</v>
          </cell>
        </row>
        <row r="15">
          <cell r="X15">
            <v>3031722.3471900001</v>
          </cell>
        </row>
        <row r="16">
          <cell r="X16">
            <v>242826.43896999999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2">
          <cell r="X32">
            <v>1.294</v>
          </cell>
        </row>
        <row r="33">
          <cell r="X33">
            <v>0</v>
          </cell>
        </row>
        <row r="34">
          <cell r="X34">
            <v>15557.23</v>
          </cell>
        </row>
        <row r="35">
          <cell r="X35">
            <v>44064.512999999999</v>
          </cell>
        </row>
        <row r="36">
          <cell r="X36">
            <v>183697.84701999999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50</v>
          </cell>
        </row>
        <row r="43">
          <cell r="X43">
            <v>90248.80141</v>
          </cell>
        </row>
        <row r="44">
          <cell r="X44">
            <v>0</v>
          </cell>
        </row>
        <row r="47">
          <cell r="X47">
            <v>12041.492679999999</v>
          </cell>
        </row>
        <row r="48">
          <cell r="X48">
            <v>24119.745050000001</v>
          </cell>
        </row>
        <row r="49">
          <cell r="X49">
            <v>61791.270420000001</v>
          </cell>
        </row>
        <row r="50">
          <cell r="X50">
            <v>0</v>
          </cell>
        </row>
        <row r="51">
          <cell r="X51">
            <v>0</v>
          </cell>
        </row>
        <row r="57">
          <cell r="X57">
            <v>0</v>
          </cell>
        </row>
        <row r="58">
          <cell r="X58">
            <v>0</v>
          </cell>
        </row>
        <row r="60">
          <cell r="X60">
            <v>3070.951</v>
          </cell>
        </row>
        <row r="61">
          <cell r="X61">
            <v>0</v>
          </cell>
        </row>
        <row r="62">
          <cell r="X62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745806.77235999994</v>
          </cell>
        </row>
        <row r="73">
          <cell r="X73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81">
          <cell r="X81">
            <v>0</v>
          </cell>
        </row>
        <row r="82">
          <cell r="X82">
            <v>500000</v>
          </cell>
        </row>
        <row r="83">
          <cell r="X83">
            <v>480780.47362</v>
          </cell>
        </row>
        <row r="84">
          <cell r="X84">
            <v>41412.796000000002</v>
          </cell>
        </row>
        <row r="85">
          <cell r="X85">
            <v>2704.5806699999998</v>
          </cell>
        </row>
        <row r="87">
          <cell r="X87">
            <v>5843.9425199999996</v>
          </cell>
        </row>
        <row r="88">
          <cell r="X88">
            <v>202585.42204</v>
          </cell>
        </row>
        <row r="94">
          <cell r="X94">
            <v>3555227.2992400001</v>
          </cell>
        </row>
        <row r="95">
          <cell r="X95">
            <v>977263.37902999995</v>
          </cell>
        </row>
        <row r="96">
          <cell r="X96">
            <v>4532490.67827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73.957319999999996</v>
          </cell>
        </row>
        <row r="105">
          <cell r="X105">
            <v>173876.69242000001</v>
          </cell>
        </row>
        <row r="106">
          <cell r="X106">
            <v>43.007199999999997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15135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3363464.6541800001</v>
          </cell>
        </row>
        <row r="116">
          <cell r="X116">
            <v>27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2050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551.98811999999998</v>
          </cell>
        </row>
        <row r="126">
          <cell r="X126">
            <v>5</v>
          </cell>
        </row>
        <row r="129">
          <cell r="X129">
            <v>21984</v>
          </cell>
        </row>
        <row r="130">
          <cell r="X130">
            <v>2690.8395700000001</v>
          </cell>
        </row>
        <row r="131">
          <cell r="X131">
            <v>814522.00847999996</v>
          </cell>
        </row>
        <row r="132">
          <cell r="X132">
            <v>90655</v>
          </cell>
        </row>
        <row r="133">
          <cell r="X133">
            <v>47411.530980000003</v>
          </cell>
        </row>
        <row r="135">
          <cell r="X135">
            <v>77856.75851</v>
          </cell>
        </row>
        <row r="136">
          <cell r="X136">
            <v>222303.21335999999</v>
          </cell>
        </row>
        <row r="138">
          <cell r="X138">
            <v>898709.24329000001</v>
          </cell>
        </row>
      </sheetData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 - 2023"/>
      <sheetName val="2007 - 2017"/>
    </sheetNames>
    <sheetDataSet>
      <sheetData sheetId="0">
        <row r="7">
          <cell r="Y7">
            <v>80028.646219999995</v>
          </cell>
        </row>
        <row r="8">
          <cell r="Y8">
            <v>4045238.9735400002</v>
          </cell>
        </row>
        <row r="10">
          <cell r="Y10">
            <v>30096.329739999997</v>
          </cell>
        </row>
        <row r="11">
          <cell r="Y11">
            <v>154047.886</v>
          </cell>
        </row>
        <row r="12">
          <cell r="Y12">
            <v>33961.96112</v>
          </cell>
        </row>
        <row r="15">
          <cell r="Y15">
            <v>2728002.6345799998</v>
          </cell>
        </row>
        <row r="16">
          <cell r="Y16">
            <v>1090721.2041</v>
          </cell>
        </row>
        <row r="17">
          <cell r="Y17">
            <v>8408.9580000000005</v>
          </cell>
        </row>
        <row r="18">
          <cell r="Y18">
            <v>0</v>
          </cell>
        </row>
        <row r="19">
          <cell r="Y19">
            <v>0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0</v>
          </cell>
        </row>
        <row r="29">
          <cell r="Y29">
            <v>0</v>
          </cell>
        </row>
        <row r="32">
          <cell r="Y32">
            <v>670672.64500000002</v>
          </cell>
        </row>
        <row r="33">
          <cell r="Y33">
            <v>125800.69358000001</v>
          </cell>
        </row>
        <row r="34">
          <cell r="Y34">
            <v>461262.01525</v>
          </cell>
        </row>
        <row r="35">
          <cell r="Y35">
            <v>156519.60352</v>
          </cell>
        </row>
        <row r="36">
          <cell r="Y36">
            <v>3438039.9309700001</v>
          </cell>
        </row>
        <row r="40">
          <cell r="Y40">
            <v>100</v>
          </cell>
        </row>
        <row r="41">
          <cell r="Y41">
            <v>0</v>
          </cell>
        </row>
        <row r="42">
          <cell r="Y42">
            <v>0</v>
          </cell>
        </row>
        <row r="43">
          <cell r="Y43">
            <v>10311.47443</v>
          </cell>
        </row>
        <row r="44">
          <cell r="Y44">
            <v>0</v>
          </cell>
        </row>
        <row r="47">
          <cell r="Y47">
            <v>100512.62699999999</v>
          </cell>
        </row>
        <row r="48">
          <cell r="Y48">
            <v>0</v>
          </cell>
        </row>
        <row r="49">
          <cell r="Y49">
            <v>17.272639999999999</v>
          </cell>
        </row>
        <row r="50">
          <cell r="Y50">
            <v>0</v>
          </cell>
        </row>
        <row r="51">
          <cell r="Y51">
            <v>0</v>
          </cell>
        </row>
        <row r="57">
          <cell r="Y57">
            <v>513413.79412999999</v>
          </cell>
        </row>
        <row r="58">
          <cell r="Y58">
            <v>20769.85454</v>
          </cell>
        </row>
        <row r="60">
          <cell r="Y60">
            <v>362148.96954999998</v>
          </cell>
        </row>
        <row r="61">
          <cell r="Y61">
            <v>161038.90356000001</v>
          </cell>
        </row>
        <row r="62">
          <cell r="Y62">
            <v>1040983.51772</v>
          </cell>
        </row>
        <row r="65">
          <cell r="Y65">
            <v>0</v>
          </cell>
        </row>
        <row r="66">
          <cell r="Y66">
            <v>80.067160000000001</v>
          </cell>
        </row>
        <row r="67">
          <cell r="Y67">
            <v>2.5979999999999999</v>
          </cell>
        </row>
        <row r="69">
          <cell r="Y69">
            <v>2365.3164200000001</v>
          </cell>
        </row>
        <row r="70">
          <cell r="Y70">
            <v>0.46992</v>
          </cell>
        </row>
        <row r="71">
          <cell r="Y71">
            <v>2.2873199999999998</v>
          </cell>
        </row>
        <row r="72">
          <cell r="Y72">
            <v>10579.92677</v>
          </cell>
        </row>
        <row r="73">
          <cell r="Y73">
            <v>0</v>
          </cell>
        </row>
        <row r="75">
          <cell r="Y75">
            <v>2599305.22053</v>
          </cell>
        </row>
        <row r="76">
          <cell r="Y76">
            <v>67329.609519999998</v>
          </cell>
        </row>
        <row r="77">
          <cell r="Y77">
            <v>3052.04081</v>
          </cell>
        </row>
        <row r="78">
          <cell r="Y78">
            <v>280086.37540999998</v>
          </cell>
        </row>
        <row r="81">
          <cell r="Y81">
            <v>30512.5</v>
          </cell>
        </row>
        <row r="82">
          <cell r="Y82">
            <v>10.1676</v>
          </cell>
        </row>
        <row r="83">
          <cell r="Y83">
            <v>42735.026140000002</v>
          </cell>
        </row>
        <row r="84">
          <cell r="Y84">
            <v>425267.06877999997</v>
          </cell>
        </row>
        <row r="85">
          <cell r="Y85">
            <v>440718.20792000002</v>
          </cell>
        </row>
        <row r="87">
          <cell r="Y87">
            <v>200345.17202</v>
          </cell>
        </row>
        <row r="88">
          <cell r="Y88">
            <v>126932.12955000001</v>
          </cell>
        </row>
        <row r="94">
          <cell r="Y94">
            <v>9689148.0441500004</v>
          </cell>
        </row>
        <row r="95">
          <cell r="Y95">
            <v>3401626.2664099997</v>
          </cell>
        </row>
        <row r="96">
          <cell r="Y96">
            <v>13090774.310559999</v>
          </cell>
        </row>
        <row r="99">
          <cell r="Y99">
            <v>3585.1928200000002</v>
          </cell>
        </row>
        <row r="100">
          <cell r="Y100">
            <v>155957.41756999999</v>
          </cell>
        </row>
        <row r="101">
          <cell r="Y101">
            <v>1416337.95652</v>
          </cell>
        </row>
        <row r="102">
          <cell r="Y102">
            <v>5.9744999999999999</v>
          </cell>
        </row>
        <row r="103">
          <cell r="Y103">
            <v>16083.18368</v>
          </cell>
        </row>
        <row r="104">
          <cell r="Y104">
            <v>104867.16878000001</v>
          </cell>
        </row>
        <row r="105">
          <cell r="Y105">
            <v>1428725.69817</v>
          </cell>
        </row>
        <row r="106">
          <cell r="Y106">
            <v>473045.54025000002</v>
          </cell>
        </row>
        <row r="109">
          <cell r="Y109">
            <v>714.87129000000004</v>
          </cell>
        </row>
        <row r="110">
          <cell r="Y110">
            <v>23633.309850000001</v>
          </cell>
        </row>
        <row r="111">
          <cell r="Y111">
            <v>850898.37017000001</v>
          </cell>
        </row>
        <row r="112">
          <cell r="Y112">
            <v>8985.9678500000009</v>
          </cell>
        </row>
        <row r="113">
          <cell r="Y113">
            <v>50580.188460000005</v>
          </cell>
        </row>
        <row r="114">
          <cell r="Y114">
            <v>3682.6264900000001</v>
          </cell>
        </row>
        <row r="115">
          <cell r="Y115">
            <v>914936.86042000004</v>
          </cell>
        </row>
        <row r="116">
          <cell r="Y116">
            <v>1400786.0204100001</v>
          </cell>
        </row>
        <row r="119">
          <cell r="Y119">
            <v>693796.70975000004</v>
          </cell>
        </row>
        <row r="120">
          <cell r="Y120">
            <v>145637.29018000001</v>
          </cell>
        </row>
        <row r="121">
          <cell r="Y121">
            <v>651401.62756000005</v>
          </cell>
        </row>
        <row r="122">
          <cell r="Y122">
            <v>28307.401999999998</v>
          </cell>
        </row>
        <row r="123">
          <cell r="Y123">
            <v>72339.196219999998</v>
          </cell>
        </row>
        <row r="124">
          <cell r="Y124">
            <v>17796.00517</v>
          </cell>
        </row>
        <row r="125">
          <cell r="Y125">
            <v>549075.51246</v>
          </cell>
        </row>
        <row r="126">
          <cell r="Y126">
            <v>677967.95357999997</v>
          </cell>
        </row>
        <row r="129">
          <cell r="Y129">
            <v>1586874.5636799999</v>
          </cell>
        </row>
        <row r="130">
          <cell r="Y130">
            <v>8367.2105699999993</v>
          </cell>
        </row>
        <row r="131">
          <cell r="Y131">
            <v>366600.48693999997</v>
          </cell>
        </row>
        <row r="132">
          <cell r="Y132">
            <v>688544.28972</v>
          </cell>
        </row>
        <row r="133">
          <cell r="Y133">
            <v>751239.71550000005</v>
          </cell>
        </row>
        <row r="135">
          <cell r="Y135">
            <v>5607.5379999999996</v>
          </cell>
        </row>
        <row r="136">
          <cell r="Y136">
            <v>227364.14038</v>
          </cell>
        </row>
        <row r="138">
          <cell r="Y138">
            <v>2092437.1165799999</v>
          </cell>
        </row>
      </sheetData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-2023"/>
      <sheetName val="2007-2017"/>
    </sheetNames>
    <sheetDataSet>
      <sheetData sheetId="0">
        <row r="7">
          <cell r="Y7">
            <v>119.19392000000001</v>
          </cell>
        </row>
        <row r="8">
          <cell r="Y8">
            <v>5129065.8783199992</v>
          </cell>
        </row>
        <row r="10">
          <cell r="Y10">
            <v>43986.080889999997</v>
          </cell>
        </row>
        <row r="11">
          <cell r="Y11">
            <v>0</v>
          </cell>
        </row>
        <row r="12">
          <cell r="Y12">
            <v>0</v>
          </cell>
        </row>
        <row r="15">
          <cell r="Y15">
            <v>4636934.0049099997</v>
          </cell>
        </row>
        <row r="16">
          <cell r="Y16">
            <v>448145.79252000002</v>
          </cell>
        </row>
        <row r="17">
          <cell r="Y17">
            <v>0</v>
          </cell>
        </row>
        <row r="18">
          <cell r="Y18">
            <v>0</v>
          </cell>
        </row>
        <row r="19">
          <cell r="Y19">
            <v>0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0</v>
          </cell>
        </row>
        <row r="29">
          <cell r="Y29">
            <v>0</v>
          </cell>
        </row>
        <row r="32">
          <cell r="Y32">
            <v>1.294</v>
          </cell>
        </row>
        <row r="33">
          <cell r="Y33">
            <v>0</v>
          </cell>
        </row>
        <row r="34">
          <cell r="Y34">
            <v>9649.3989999999994</v>
          </cell>
        </row>
        <row r="35">
          <cell r="Y35">
            <v>44128.743999999999</v>
          </cell>
        </row>
        <row r="36">
          <cell r="Y36">
            <v>190217.95154000001</v>
          </cell>
        </row>
        <row r="40">
          <cell r="Y40">
            <v>0</v>
          </cell>
        </row>
        <row r="41">
          <cell r="Y41">
            <v>0</v>
          </cell>
        </row>
        <row r="42">
          <cell r="Y42">
            <v>50</v>
          </cell>
        </row>
        <row r="43">
          <cell r="Y43">
            <v>150070.54358</v>
          </cell>
        </row>
        <row r="44">
          <cell r="Y44">
            <v>0</v>
          </cell>
        </row>
        <row r="47">
          <cell r="Y47">
            <v>6355.2288200000003</v>
          </cell>
        </row>
        <row r="48">
          <cell r="Y48">
            <v>19979.482660000001</v>
          </cell>
        </row>
        <row r="49">
          <cell r="Y49">
            <v>34747.86419</v>
          </cell>
        </row>
        <row r="50">
          <cell r="Y50">
            <v>0</v>
          </cell>
        </row>
        <row r="51">
          <cell r="Y51">
            <v>0</v>
          </cell>
        </row>
        <row r="57">
          <cell r="Y57">
            <v>0</v>
          </cell>
        </row>
        <row r="58">
          <cell r="Y58">
            <v>0</v>
          </cell>
        </row>
        <row r="60">
          <cell r="Y60">
            <v>3179.59</v>
          </cell>
        </row>
        <row r="61">
          <cell r="Y61">
            <v>0</v>
          </cell>
        </row>
        <row r="62">
          <cell r="Y62">
            <v>0</v>
          </cell>
        </row>
        <row r="65">
          <cell r="Y65">
            <v>0</v>
          </cell>
        </row>
        <row r="66">
          <cell r="Y66">
            <v>0</v>
          </cell>
        </row>
        <row r="67">
          <cell r="Y67">
            <v>0</v>
          </cell>
        </row>
        <row r="69">
          <cell r="Y69">
            <v>0</v>
          </cell>
        </row>
        <row r="70">
          <cell r="Y70">
            <v>0</v>
          </cell>
        </row>
        <row r="71">
          <cell r="Y71">
            <v>0</v>
          </cell>
        </row>
        <row r="72">
          <cell r="Y72">
            <v>582496.30229000002</v>
          </cell>
        </row>
        <row r="73">
          <cell r="Y73">
            <v>0</v>
          </cell>
        </row>
        <row r="75">
          <cell r="Y75">
            <v>0</v>
          </cell>
        </row>
        <row r="76">
          <cell r="Y76">
            <v>0</v>
          </cell>
        </row>
        <row r="77">
          <cell r="Y77">
            <v>0</v>
          </cell>
        </row>
        <row r="78">
          <cell r="Y78">
            <v>0</v>
          </cell>
        </row>
        <row r="81">
          <cell r="Y81">
            <v>0</v>
          </cell>
        </row>
        <row r="82">
          <cell r="Y82">
            <v>675000</v>
          </cell>
        </row>
        <row r="83">
          <cell r="Y83">
            <v>406728.04463000002</v>
          </cell>
        </row>
        <row r="84">
          <cell r="Y84">
            <v>38362.097000000002</v>
          </cell>
        </row>
        <row r="85">
          <cell r="Y85">
            <v>1194.08348</v>
          </cell>
        </row>
        <row r="87">
          <cell r="Y87">
            <v>5526.42515</v>
          </cell>
        </row>
        <row r="88">
          <cell r="Y88">
            <v>215252.08117000002</v>
          </cell>
        </row>
        <row r="94">
          <cell r="Y94">
            <v>3993125.0191299999</v>
          </cell>
        </row>
        <row r="95">
          <cell r="Y95">
            <v>2313613.0702799996</v>
          </cell>
        </row>
        <row r="96">
          <cell r="Y96">
            <v>6306738.0894099995</v>
          </cell>
        </row>
        <row r="99">
          <cell r="Y99">
            <v>0</v>
          </cell>
        </row>
        <row r="100">
          <cell r="Y100">
            <v>0</v>
          </cell>
        </row>
        <row r="101">
          <cell r="Y101">
            <v>94.907030000000006</v>
          </cell>
        </row>
        <row r="102">
          <cell r="Y102">
            <v>0</v>
          </cell>
        </row>
        <row r="103">
          <cell r="Y103">
            <v>0</v>
          </cell>
        </row>
        <row r="104">
          <cell r="Y104">
            <v>70.601770000000002</v>
          </cell>
        </row>
        <row r="105">
          <cell r="Y105">
            <v>184951.44221000001</v>
          </cell>
        </row>
        <row r="106">
          <cell r="Y106">
            <v>77.019210000000001</v>
          </cell>
        </row>
        <row r="109">
          <cell r="Y109">
            <v>0</v>
          </cell>
        </row>
        <row r="110">
          <cell r="Y110">
            <v>0</v>
          </cell>
        </row>
        <row r="111">
          <cell r="Y111">
            <v>15276.118</v>
          </cell>
        </row>
        <row r="112">
          <cell r="Y112">
            <v>0</v>
          </cell>
        </row>
        <row r="113">
          <cell r="Y113">
            <v>0</v>
          </cell>
        </row>
        <row r="114">
          <cell r="Y114">
            <v>0</v>
          </cell>
        </row>
        <row r="115">
          <cell r="Y115">
            <v>3288184.17827</v>
          </cell>
        </row>
        <row r="116">
          <cell r="Y116">
            <v>9.9510000000000005</v>
          </cell>
        </row>
        <row r="119">
          <cell r="Y119">
            <v>0</v>
          </cell>
        </row>
        <row r="120">
          <cell r="Y120">
            <v>0</v>
          </cell>
        </row>
        <row r="121">
          <cell r="Y121">
            <v>2662.8780000000002</v>
          </cell>
        </row>
        <row r="122">
          <cell r="Y122">
            <v>0</v>
          </cell>
        </row>
        <row r="123">
          <cell r="Y123">
            <v>0</v>
          </cell>
        </row>
        <row r="124">
          <cell r="Y124">
            <v>0</v>
          </cell>
        </row>
        <row r="125">
          <cell r="Y125">
            <v>501067.48141000001</v>
          </cell>
        </row>
        <row r="126">
          <cell r="Y126">
            <v>730.44223</v>
          </cell>
        </row>
        <row r="129">
          <cell r="Y129">
            <v>27267.883000000002</v>
          </cell>
        </row>
        <row r="130">
          <cell r="Y130">
            <v>2655.5251800000001</v>
          </cell>
        </row>
        <row r="131">
          <cell r="Y131">
            <v>2142888.9083799999</v>
          </cell>
        </row>
        <row r="132">
          <cell r="Y132">
            <v>100763.33538999999</v>
          </cell>
        </row>
        <row r="133">
          <cell r="Y133">
            <v>40037.41833</v>
          </cell>
        </row>
        <row r="135">
          <cell r="Y135">
            <v>12948.595939999999</v>
          </cell>
        </row>
        <row r="136">
          <cell r="Y136">
            <v>266622.58239</v>
          </cell>
        </row>
        <row r="138">
          <cell r="Y138">
            <v>925814.93601000006</v>
          </cell>
        </row>
      </sheetData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 - 2023"/>
      <sheetName val="2007 - 2017"/>
    </sheetNames>
    <sheetDataSet>
      <sheetData sheetId="0">
        <row r="7">
          <cell r="Z7">
            <v>93604.501829999994</v>
          </cell>
        </row>
        <row r="8">
          <cell r="Z8">
            <v>4178429.0444800002</v>
          </cell>
        </row>
        <row r="10">
          <cell r="Z10">
            <v>78377.538339999999</v>
          </cell>
        </row>
        <row r="11">
          <cell r="Z11">
            <v>77845.875</v>
          </cell>
        </row>
        <row r="12">
          <cell r="Z12">
            <v>9945.0195100000001</v>
          </cell>
        </row>
        <row r="15">
          <cell r="Z15">
            <v>2757027.2697700001</v>
          </cell>
        </row>
        <row r="16">
          <cell r="Z16">
            <v>1245796.8068599999</v>
          </cell>
        </row>
        <row r="17">
          <cell r="Z17">
            <v>9436.5349999999999</v>
          </cell>
        </row>
        <row r="18">
          <cell r="Z18">
            <v>0</v>
          </cell>
        </row>
        <row r="19">
          <cell r="Z19">
            <v>0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0</v>
          </cell>
        </row>
        <row r="29">
          <cell r="Z29">
            <v>0</v>
          </cell>
        </row>
        <row r="32">
          <cell r="Z32">
            <v>691379.85400000005</v>
          </cell>
        </row>
        <row r="33">
          <cell r="Z33">
            <v>95610.680649999995</v>
          </cell>
        </row>
        <row r="34">
          <cell r="Z34">
            <v>456055.29262000002</v>
          </cell>
        </row>
        <row r="35">
          <cell r="Z35">
            <v>169577.74244</v>
          </cell>
        </row>
        <row r="36">
          <cell r="Z36">
            <v>3588693.6319800001</v>
          </cell>
        </row>
        <row r="40">
          <cell r="Z40">
            <v>100</v>
          </cell>
        </row>
        <row r="41">
          <cell r="Z41">
            <v>0</v>
          </cell>
        </row>
        <row r="42">
          <cell r="Z42">
            <v>0</v>
          </cell>
        </row>
        <row r="43">
          <cell r="Z43">
            <v>10357.95543</v>
          </cell>
        </row>
        <row r="44">
          <cell r="Z44">
            <v>0</v>
          </cell>
        </row>
        <row r="47">
          <cell r="Z47">
            <v>100512.624</v>
          </cell>
        </row>
        <row r="48">
          <cell r="Z48">
            <v>0</v>
          </cell>
        </row>
        <row r="49">
          <cell r="Z49">
            <v>0</v>
          </cell>
        </row>
        <row r="50">
          <cell r="Z50">
            <v>0</v>
          </cell>
        </row>
        <row r="51">
          <cell r="Z51">
            <v>0</v>
          </cell>
        </row>
        <row r="57">
          <cell r="Z57">
            <v>504420.60230999999</v>
          </cell>
        </row>
        <row r="58">
          <cell r="Z58">
            <v>18467.562020000001</v>
          </cell>
        </row>
        <row r="60">
          <cell r="Z60">
            <v>352188.39363000001</v>
          </cell>
        </row>
        <row r="61">
          <cell r="Z61">
            <v>168138.11244</v>
          </cell>
        </row>
        <row r="62">
          <cell r="Z62">
            <v>1060542.7532299999</v>
          </cell>
        </row>
        <row r="65">
          <cell r="Z65">
            <v>0</v>
          </cell>
        </row>
        <row r="66">
          <cell r="Z66">
            <v>273.07211000000001</v>
          </cell>
        </row>
        <row r="67">
          <cell r="Z67">
            <v>1.796</v>
          </cell>
        </row>
        <row r="69">
          <cell r="Z69">
            <v>2313.3571200000001</v>
          </cell>
        </row>
        <row r="70">
          <cell r="Z70">
            <v>5.6466399999999997</v>
          </cell>
        </row>
        <row r="71">
          <cell r="Z71">
            <v>3.3016200000000002</v>
          </cell>
        </row>
        <row r="72">
          <cell r="Z72">
            <v>12248.27124</v>
          </cell>
        </row>
        <row r="73">
          <cell r="Z73">
            <v>0</v>
          </cell>
        </row>
        <row r="75">
          <cell r="Z75">
            <v>2597566.6176499999</v>
          </cell>
        </row>
        <row r="76">
          <cell r="Z76">
            <v>73170.029859999995</v>
          </cell>
        </row>
        <row r="77">
          <cell r="Z77">
            <v>3217.1513100000002</v>
          </cell>
        </row>
        <row r="78">
          <cell r="Z78">
            <v>290446.11061999999</v>
          </cell>
        </row>
        <row r="81">
          <cell r="Z81">
            <v>0</v>
          </cell>
        </row>
        <row r="82">
          <cell r="Z82">
            <v>0</v>
          </cell>
        </row>
        <row r="83">
          <cell r="Z83">
            <v>48939.562169999997</v>
          </cell>
        </row>
        <row r="84">
          <cell r="Z84">
            <v>429155.14432999998</v>
          </cell>
        </row>
        <row r="85">
          <cell r="Z85">
            <v>437110.36709000001</v>
          </cell>
        </row>
        <row r="87">
          <cell r="Z87">
            <v>202829.94018000001</v>
          </cell>
        </row>
        <row r="88">
          <cell r="Z88">
            <v>128792.35767999999</v>
          </cell>
        </row>
        <row r="94">
          <cell r="Z94">
            <v>9952972.3862299994</v>
          </cell>
        </row>
        <row r="95">
          <cell r="Z95">
            <v>3309000.5434499998</v>
          </cell>
        </row>
        <row r="96">
          <cell r="Z96">
            <v>13261972.929679999</v>
          </cell>
        </row>
        <row r="99">
          <cell r="Z99">
            <v>121817.09745</v>
          </cell>
        </row>
        <row r="100">
          <cell r="Z100">
            <v>150049.20254</v>
          </cell>
        </row>
        <row r="101">
          <cell r="Z101">
            <v>1547997.4804400001</v>
          </cell>
        </row>
        <row r="102">
          <cell r="Z102">
            <v>12.287660000000001</v>
          </cell>
        </row>
        <row r="103">
          <cell r="Z103">
            <v>25472.121489999998</v>
          </cell>
        </row>
        <row r="104">
          <cell r="Z104">
            <v>118755.38588</v>
          </cell>
        </row>
        <row r="105">
          <cell r="Z105">
            <v>1481985.7366599999</v>
          </cell>
        </row>
        <row r="106">
          <cell r="Z106">
            <v>506985.52902000002</v>
          </cell>
        </row>
        <row r="109">
          <cell r="Z109">
            <v>2425.9385000000002</v>
          </cell>
        </row>
        <row r="110">
          <cell r="Z110">
            <v>24263.07374</v>
          </cell>
        </row>
        <row r="111">
          <cell r="Z111">
            <v>773908.29665999999</v>
          </cell>
        </row>
        <row r="112">
          <cell r="Z112">
            <v>12331.88985</v>
          </cell>
        </row>
        <row r="113">
          <cell r="Z113">
            <v>45149.817840000003</v>
          </cell>
        </row>
        <row r="114">
          <cell r="Z114">
            <v>5989.2557100000004</v>
          </cell>
        </row>
        <row r="115">
          <cell r="Z115">
            <v>857360.74401000002</v>
          </cell>
        </row>
        <row r="116">
          <cell r="Z116">
            <v>1403767.4243900001</v>
          </cell>
        </row>
        <row r="119">
          <cell r="Z119">
            <v>726580.18689000001</v>
          </cell>
        </row>
        <row r="120">
          <cell r="Z120">
            <v>162705.24570999999</v>
          </cell>
        </row>
        <row r="121">
          <cell r="Z121">
            <v>580431.33979</v>
          </cell>
        </row>
        <row r="122">
          <cell r="Z122">
            <v>32465.825000000001</v>
          </cell>
        </row>
        <row r="123">
          <cell r="Z123">
            <v>79272.865040000004</v>
          </cell>
        </row>
        <row r="124">
          <cell r="Z124">
            <v>16324.174489999999</v>
          </cell>
        </row>
        <row r="125">
          <cell r="Z125">
            <v>549492.75216000003</v>
          </cell>
        </row>
        <row r="126">
          <cell r="Z126">
            <v>727428.71531</v>
          </cell>
        </row>
        <row r="129">
          <cell r="Z129">
            <v>1497664.9988599999</v>
          </cell>
        </row>
        <row r="130">
          <cell r="Z130">
            <v>17552.412960000001</v>
          </cell>
        </row>
        <row r="131">
          <cell r="Z131">
            <v>331175.74508999998</v>
          </cell>
        </row>
        <row r="132">
          <cell r="Z132">
            <v>693025.67799999996</v>
          </cell>
        </row>
        <row r="133">
          <cell r="Z133">
            <v>769581.70854000002</v>
          </cell>
        </row>
        <row r="135">
          <cell r="Z135">
            <v>0</v>
          </cell>
        </row>
        <row r="136">
          <cell r="Z136">
            <v>231613.33873000002</v>
          </cell>
        </row>
        <row r="138">
          <cell r="Z138">
            <v>2220565.2079400001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- 2019"/>
      <sheetName val="2007 - 2014"/>
    </sheetNames>
    <sheetDataSet>
      <sheetData sheetId="0">
        <row r="7">
          <cell r="T7">
            <v>79603</v>
          </cell>
        </row>
        <row r="8">
          <cell r="T8">
            <v>4142289</v>
          </cell>
        </row>
        <row r="10">
          <cell r="T10">
            <v>71415</v>
          </cell>
        </row>
        <row r="11">
          <cell r="T11">
            <v>63091</v>
          </cell>
        </row>
        <row r="12">
          <cell r="T12">
            <v>0</v>
          </cell>
        </row>
        <row r="15">
          <cell r="T15">
            <v>2847976</v>
          </cell>
        </row>
        <row r="16">
          <cell r="T16">
            <v>1159807</v>
          </cell>
        </row>
        <row r="17">
          <cell r="T17">
            <v>0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619448</v>
          </cell>
        </row>
        <row r="33">
          <cell r="T33">
            <v>309390</v>
          </cell>
        </row>
        <row r="34">
          <cell r="T34">
            <v>349359</v>
          </cell>
        </row>
        <row r="35">
          <cell r="T35">
            <v>51989</v>
          </cell>
        </row>
        <row r="36">
          <cell r="T36">
            <v>2780771</v>
          </cell>
        </row>
        <row r="40">
          <cell r="T40">
            <v>100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8588</v>
          </cell>
        </row>
        <row r="44">
          <cell r="T44">
            <v>0</v>
          </cell>
        </row>
        <row r="47">
          <cell r="T47">
            <v>77623</v>
          </cell>
        </row>
        <row r="48">
          <cell r="T48">
            <v>0</v>
          </cell>
        </row>
        <row r="49">
          <cell r="T49">
            <v>45</v>
          </cell>
        </row>
        <row r="50">
          <cell r="T50">
            <v>0</v>
          </cell>
        </row>
        <row r="51">
          <cell r="T51">
            <v>0</v>
          </cell>
        </row>
        <row r="57">
          <cell r="T57">
            <v>257709</v>
          </cell>
        </row>
        <row r="58">
          <cell r="T58">
            <v>59250</v>
          </cell>
        </row>
        <row r="60">
          <cell r="T60">
            <v>311488</v>
          </cell>
        </row>
        <row r="61">
          <cell r="T61">
            <v>137574</v>
          </cell>
        </row>
        <row r="62">
          <cell r="T62">
            <v>729261</v>
          </cell>
        </row>
        <row r="65">
          <cell r="T65">
            <v>0</v>
          </cell>
        </row>
        <row r="66">
          <cell r="T66">
            <v>4</v>
          </cell>
        </row>
        <row r="67">
          <cell r="T67">
            <v>0</v>
          </cell>
        </row>
        <row r="69">
          <cell r="T69">
            <v>3303</v>
          </cell>
        </row>
        <row r="70">
          <cell r="T70">
            <v>3893</v>
          </cell>
        </row>
        <row r="71">
          <cell r="T71">
            <v>32</v>
          </cell>
        </row>
        <row r="72">
          <cell r="T72">
            <v>33517</v>
          </cell>
        </row>
        <row r="73">
          <cell r="T73">
            <v>1560</v>
          </cell>
        </row>
        <row r="75">
          <cell r="T75">
            <v>2169986</v>
          </cell>
        </row>
        <row r="76">
          <cell r="T76">
            <v>69065</v>
          </cell>
        </row>
        <row r="77">
          <cell r="T77">
            <v>5283</v>
          </cell>
        </row>
        <row r="78">
          <cell r="T78">
            <v>239163</v>
          </cell>
        </row>
        <row r="81">
          <cell r="T81">
            <v>31700</v>
          </cell>
        </row>
        <row r="82">
          <cell r="T82">
            <v>60</v>
          </cell>
        </row>
        <row r="83">
          <cell r="T83">
            <v>80916</v>
          </cell>
        </row>
        <row r="84">
          <cell r="T84">
            <v>1147124</v>
          </cell>
        </row>
        <row r="85">
          <cell r="T85">
            <v>506282</v>
          </cell>
        </row>
        <row r="87">
          <cell r="T87">
            <v>276213</v>
          </cell>
        </row>
        <row r="88">
          <cell r="T88">
            <v>210146</v>
          </cell>
        </row>
        <row r="94">
          <cell r="T94">
            <v>9386459</v>
          </cell>
        </row>
        <row r="95">
          <cell r="T95">
            <v>3003472</v>
          </cell>
        </row>
        <row r="96">
          <cell r="T96">
            <v>12389931</v>
          </cell>
        </row>
        <row r="99">
          <cell r="T99">
            <v>38015</v>
          </cell>
        </row>
        <row r="100">
          <cell r="T100">
            <v>137776</v>
          </cell>
        </row>
        <row r="101">
          <cell r="T101">
            <v>1222152</v>
          </cell>
        </row>
        <row r="102">
          <cell r="T102">
            <v>6</v>
          </cell>
        </row>
        <row r="103">
          <cell r="T103">
            <v>51967</v>
          </cell>
        </row>
        <row r="104">
          <cell r="T104">
            <v>49523</v>
          </cell>
        </row>
        <row r="105">
          <cell r="T105">
            <v>1423562</v>
          </cell>
        </row>
        <row r="106">
          <cell r="T106">
            <v>481738</v>
          </cell>
        </row>
        <row r="109">
          <cell r="T109">
            <v>42</v>
          </cell>
        </row>
        <row r="110">
          <cell r="T110">
            <v>17012</v>
          </cell>
        </row>
        <row r="111">
          <cell r="T111">
            <v>835621</v>
          </cell>
        </row>
        <row r="112">
          <cell r="T112">
            <v>13930</v>
          </cell>
        </row>
        <row r="113">
          <cell r="T113">
            <v>56033</v>
          </cell>
        </row>
        <row r="114">
          <cell r="T114">
            <v>5961</v>
          </cell>
        </row>
        <row r="115">
          <cell r="T115">
            <v>1154857</v>
          </cell>
        </row>
        <row r="116">
          <cell r="T116">
            <v>1483155</v>
          </cell>
        </row>
        <row r="119">
          <cell r="T119">
            <v>756561</v>
          </cell>
        </row>
        <row r="120">
          <cell r="T120">
            <v>279268</v>
          </cell>
        </row>
        <row r="121">
          <cell r="T121">
            <v>337959</v>
          </cell>
        </row>
        <row r="122">
          <cell r="T122">
            <v>8071</v>
          </cell>
        </row>
        <row r="123">
          <cell r="T123">
            <v>14759</v>
          </cell>
        </row>
        <row r="124">
          <cell r="T124">
            <v>6480</v>
          </cell>
        </row>
        <row r="125">
          <cell r="T125">
            <v>418552</v>
          </cell>
        </row>
        <row r="126">
          <cell r="T126">
            <v>593459</v>
          </cell>
        </row>
        <row r="129">
          <cell r="T129">
            <v>1234978</v>
          </cell>
        </row>
        <row r="130">
          <cell r="T130">
            <v>76240</v>
          </cell>
        </row>
        <row r="131">
          <cell r="T131">
            <v>417799</v>
          </cell>
        </row>
        <row r="132">
          <cell r="T132">
            <v>608615</v>
          </cell>
        </row>
        <row r="133">
          <cell r="T133">
            <v>665840</v>
          </cell>
        </row>
        <row r="135">
          <cell r="T135">
            <v>0</v>
          </cell>
        </row>
        <row r="136">
          <cell r="T136">
            <v>253287</v>
          </cell>
        </row>
        <row r="138">
          <cell r="T138">
            <v>2049516</v>
          </cell>
        </row>
      </sheetData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2023"/>
      <sheetName val="2007-2017"/>
    </sheetNames>
    <sheetDataSet>
      <sheetData sheetId="0">
        <row r="7">
          <cell r="Z7">
            <v>117.96003</v>
          </cell>
        </row>
        <row r="8">
          <cell r="Z8">
            <v>3400196.1210500002</v>
          </cell>
        </row>
        <row r="10">
          <cell r="Z10">
            <v>52261.093229999999</v>
          </cell>
        </row>
        <row r="11">
          <cell r="Z11">
            <v>0</v>
          </cell>
        </row>
        <row r="12">
          <cell r="Z12">
            <v>0</v>
          </cell>
        </row>
        <row r="15">
          <cell r="Z15">
            <v>2965915.5059000002</v>
          </cell>
        </row>
        <row r="16">
          <cell r="Z16">
            <v>382019.52192000003</v>
          </cell>
        </row>
        <row r="17">
          <cell r="Z17">
            <v>0</v>
          </cell>
        </row>
        <row r="18">
          <cell r="Z18">
            <v>0</v>
          </cell>
        </row>
        <row r="19">
          <cell r="Z19">
            <v>0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0</v>
          </cell>
        </row>
        <row r="29">
          <cell r="Z29">
            <v>0</v>
          </cell>
        </row>
        <row r="32">
          <cell r="Z32">
            <v>1.294</v>
          </cell>
        </row>
        <row r="33">
          <cell r="Z33">
            <v>0</v>
          </cell>
        </row>
        <row r="34">
          <cell r="Z34">
            <v>9321.1669999999995</v>
          </cell>
        </row>
        <row r="35">
          <cell r="Z35">
            <v>19393.903999999999</v>
          </cell>
        </row>
        <row r="36">
          <cell r="Z36">
            <v>166934.36968999999</v>
          </cell>
        </row>
        <row r="40">
          <cell r="Z40">
            <v>0</v>
          </cell>
        </row>
        <row r="41">
          <cell r="Z41">
            <v>0</v>
          </cell>
        </row>
        <row r="42">
          <cell r="Z42">
            <v>0</v>
          </cell>
        </row>
        <row r="43">
          <cell r="Z43">
            <v>19515.283630000002</v>
          </cell>
        </row>
        <row r="44">
          <cell r="Z44">
            <v>0</v>
          </cell>
        </row>
        <row r="47">
          <cell r="Z47">
            <v>25603.169699999999</v>
          </cell>
        </row>
        <row r="48">
          <cell r="Z48">
            <v>165901.42066999999</v>
          </cell>
        </row>
        <row r="49">
          <cell r="Z49">
            <v>7391.0594600000004</v>
          </cell>
        </row>
        <row r="50">
          <cell r="Z50">
            <v>0</v>
          </cell>
        </row>
        <row r="51">
          <cell r="Z51">
            <v>0</v>
          </cell>
        </row>
        <row r="57">
          <cell r="Z57">
            <v>0</v>
          </cell>
        </row>
        <row r="58">
          <cell r="Z58">
            <v>0</v>
          </cell>
        </row>
        <row r="60">
          <cell r="Z60">
            <v>3331.462</v>
          </cell>
        </row>
        <row r="61">
          <cell r="Z61">
            <v>0</v>
          </cell>
        </row>
        <row r="62">
          <cell r="Z62">
            <v>0</v>
          </cell>
        </row>
        <row r="65">
          <cell r="Z65">
            <v>0</v>
          </cell>
        </row>
        <row r="66">
          <cell r="Z66">
            <v>0</v>
          </cell>
        </row>
        <row r="67">
          <cell r="Z67">
            <v>0</v>
          </cell>
        </row>
        <row r="69">
          <cell r="Z69">
            <v>0</v>
          </cell>
        </row>
        <row r="70">
          <cell r="Z70">
            <v>0</v>
          </cell>
        </row>
        <row r="71">
          <cell r="Z71">
            <v>0</v>
          </cell>
        </row>
        <row r="72">
          <cell r="Z72">
            <v>902148.80570000003</v>
          </cell>
        </row>
        <row r="73">
          <cell r="Z73">
            <v>0</v>
          </cell>
        </row>
        <row r="75">
          <cell r="Z75">
            <v>0</v>
          </cell>
        </row>
        <row r="76">
          <cell r="Z76">
            <v>0</v>
          </cell>
        </row>
        <row r="77">
          <cell r="Z77">
            <v>0</v>
          </cell>
        </row>
        <row r="78">
          <cell r="Z78">
            <v>0</v>
          </cell>
        </row>
        <row r="81">
          <cell r="Z81">
            <v>0</v>
          </cell>
        </row>
        <row r="82">
          <cell r="Z82">
            <v>600000</v>
          </cell>
        </row>
        <row r="83">
          <cell r="Z83">
            <v>825573.91778000002</v>
          </cell>
        </row>
        <row r="84">
          <cell r="Z84">
            <v>34191.680999999997</v>
          </cell>
        </row>
        <row r="85">
          <cell r="Z85">
            <v>3669.2159700000002</v>
          </cell>
        </row>
        <row r="87">
          <cell r="Z87">
            <v>4831.5042800000001</v>
          </cell>
        </row>
        <row r="88">
          <cell r="Z88">
            <v>192249.75912999999</v>
          </cell>
        </row>
        <row r="94">
          <cell r="Z94">
            <v>3628903.17649</v>
          </cell>
        </row>
        <row r="95">
          <cell r="Z95">
            <v>1316521.1024499999</v>
          </cell>
        </row>
        <row r="96">
          <cell r="Z96">
            <v>4945424.2789399996</v>
          </cell>
        </row>
        <row r="99">
          <cell r="Z99">
            <v>0</v>
          </cell>
        </row>
        <row r="100">
          <cell r="Z100">
            <v>0</v>
          </cell>
        </row>
        <row r="101">
          <cell r="Z101">
            <v>683.74491</v>
          </cell>
        </row>
        <row r="102">
          <cell r="Z102">
            <v>0</v>
          </cell>
        </row>
        <row r="103">
          <cell r="Z103">
            <v>0</v>
          </cell>
        </row>
        <row r="104">
          <cell r="Z104">
            <v>99.52552</v>
          </cell>
        </row>
        <row r="105">
          <cell r="Z105">
            <v>155706.11011000001</v>
          </cell>
        </row>
        <row r="106">
          <cell r="Z106">
            <v>1471.17211</v>
          </cell>
        </row>
        <row r="109">
          <cell r="Z109">
            <v>0</v>
          </cell>
        </row>
        <row r="110">
          <cell r="Z110">
            <v>0</v>
          </cell>
        </row>
        <row r="111">
          <cell r="Z111">
            <v>3906.6039999999998</v>
          </cell>
        </row>
        <row r="112">
          <cell r="Z112">
            <v>0</v>
          </cell>
        </row>
        <row r="113">
          <cell r="Z113">
            <v>0</v>
          </cell>
        </row>
        <row r="114">
          <cell r="Z114">
            <v>0</v>
          </cell>
        </row>
        <row r="115">
          <cell r="Z115">
            <v>3461009.35201</v>
          </cell>
        </row>
        <row r="116">
          <cell r="Z116">
            <v>10.068</v>
          </cell>
        </row>
        <row r="119">
          <cell r="Z119">
            <v>0</v>
          </cell>
        </row>
        <row r="120">
          <cell r="Z120">
            <v>0</v>
          </cell>
        </row>
        <row r="121">
          <cell r="Z121">
            <v>2743.8820000000001</v>
          </cell>
        </row>
        <row r="122">
          <cell r="Z122">
            <v>0</v>
          </cell>
        </row>
        <row r="123">
          <cell r="Z123">
            <v>0</v>
          </cell>
        </row>
        <row r="124">
          <cell r="Z124">
            <v>0</v>
          </cell>
        </row>
        <row r="125">
          <cell r="Z125">
            <v>3267.71783</v>
          </cell>
        </row>
        <row r="126">
          <cell r="Z126">
            <v>5</v>
          </cell>
        </row>
        <row r="129">
          <cell r="Z129">
            <v>29606.401999999998</v>
          </cell>
        </row>
        <row r="130">
          <cell r="Z130">
            <v>4436.06286</v>
          </cell>
        </row>
        <row r="131">
          <cell r="Z131">
            <v>1151745.60644</v>
          </cell>
        </row>
        <row r="132">
          <cell r="Z132">
            <v>90964.937000000005</v>
          </cell>
        </row>
        <row r="133">
          <cell r="Z133">
            <v>39768.094149999997</v>
          </cell>
        </row>
        <row r="135">
          <cell r="Z135">
            <v>264270.89176000003</v>
          </cell>
        </row>
        <row r="136">
          <cell r="Z136">
            <v>289218.49638000003</v>
          </cell>
        </row>
        <row r="138">
          <cell r="Z138">
            <v>881458.42800999992</v>
          </cell>
        </row>
      </sheetData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4"/>
      <sheetName val="2007 - 2019"/>
    </sheetNames>
    <sheetDataSet>
      <sheetData sheetId="0">
        <row r="7">
          <cell r="S7">
            <v>93630.467770000003</v>
          </cell>
        </row>
        <row r="8">
          <cell r="S8">
            <v>3908348.7810700005</v>
          </cell>
        </row>
        <row r="10">
          <cell r="S10">
            <v>53328.29163</v>
          </cell>
        </row>
        <row r="11">
          <cell r="S11">
            <v>122273.538</v>
          </cell>
        </row>
        <row r="12">
          <cell r="S12">
            <v>22633.462319999999</v>
          </cell>
        </row>
        <row r="15">
          <cell r="S15">
            <v>2527892.6428</v>
          </cell>
        </row>
        <row r="16">
          <cell r="S16">
            <v>1172013.37632</v>
          </cell>
        </row>
        <row r="17">
          <cell r="S17">
            <v>10207.469999999999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2">
          <cell r="S32">
            <v>692627.973</v>
          </cell>
        </row>
        <row r="33">
          <cell r="S33">
            <v>95360.983319999999</v>
          </cell>
        </row>
        <row r="34">
          <cell r="S34">
            <v>452172.59976000001</v>
          </cell>
        </row>
        <row r="35">
          <cell r="S35">
            <v>180640.97441</v>
          </cell>
        </row>
        <row r="36">
          <cell r="S36">
            <v>3860163.99021</v>
          </cell>
        </row>
        <row r="40">
          <cell r="S40">
            <v>100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10454.75843</v>
          </cell>
        </row>
        <row r="44">
          <cell r="S44">
            <v>0</v>
          </cell>
        </row>
        <row r="47">
          <cell r="S47">
            <v>100512.624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7">
          <cell r="S57">
            <v>486158.10161999997</v>
          </cell>
        </row>
        <row r="58">
          <cell r="S58">
            <v>20228.279200000001</v>
          </cell>
        </row>
        <row r="60">
          <cell r="S60">
            <v>370520.05050000001</v>
          </cell>
        </row>
        <row r="61">
          <cell r="S61">
            <v>172026.38634999999</v>
          </cell>
        </row>
        <row r="62">
          <cell r="S62">
            <v>1074884.4254300001</v>
          </cell>
        </row>
        <row r="65">
          <cell r="S65">
            <v>0</v>
          </cell>
        </row>
        <row r="66">
          <cell r="S66">
            <v>7.7542799999999996</v>
          </cell>
        </row>
        <row r="67">
          <cell r="S67">
            <v>0</v>
          </cell>
        </row>
        <row r="69">
          <cell r="S69">
            <v>2253.0375100000001</v>
          </cell>
        </row>
        <row r="70">
          <cell r="S70">
            <v>3.1697299999999999</v>
          </cell>
        </row>
        <row r="71">
          <cell r="S71">
            <v>1.05332</v>
          </cell>
        </row>
        <row r="72">
          <cell r="S72">
            <v>12271.21883</v>
          </cell>
        </row>
        <row r="73">
          <cell r="S73">
            <v>0</v>
          </cell>
        </row>
        <row r="75">
          <cell r="S75">
            <v>2600185.3907900001</v>
          </cell>
        </row>
        <row r="76">
          <cell r="S76">
            <v>76290.059739999997</v>
          </cell>
        </row>
        <row r="77">
          <cell r="S77">
            <v>3052.0310500000001</v>
          </cell>
        </row>
        <row r="78">
          <cell r="S78">
            <v>279813.04511000001</v>
          </cell>
        </row>
        <row r="81">
          <cell r="S81">
            <v>0</v>
          </cell>
        </row>
        <row r="82">
          <cell r="S82">
            <v>31.268999999999998</v>
          </cell>
        </row>
        <row r="83">
          <cell r="S83">
            <v>59352.657299999999</v>
          </cell>
        </row>
        <row r="84">
          <cell r="S84">
            <v>428555.85843999998</v>
          </cell>
        </row>
        <row r="85">
          <cell r="S85">
            <v>519316.21536999999</v>
          </cell>
        </row>
        <row r="87">
          <cell r="S87">
            <v>201538.31886999999</v>
          </cell>
        </row>
        <row r="88">
          <cell r="S88">
            <v>138946.39436999999</v>
          </cell>
        </row>
        <row r="94">
          <cell r="S94">
            <v>10017367.314199999</v>
          </cell>
        </row>
        <row r="95">
          <cell r="S95">
            <v>3214205.3874499998</v>
          </cell>
        </row>
        <row r="96">
          <cell r="S96">
            <v>13231572.701649999</v>
          </cell>
        </row>
        <row r="99">
          <cell r="S99">
            <v>29191.631270000002</v>
          </cell>
        </row>
        <row r="100">
          <cell r="S100">
            <v>156801.46398</v>
          </cell>
        </row>
        <row r="101">
          <cell r="S101">
            <v>1505020.44016</v>
          </cell>
        </row>
        <row r="102">
          <cell r="S102">
            <v>6.0076200000000002</v>
          </cell>
        </row>
        <row r="103">
          <cell r="S103">
            <v>32202.574370000002</v>
          </cell>
        </row>
        <row r="104">
          <cell r="S104">
            <v>114675.80432</v>
          </cell>
        </row>
        <row r="105">
          <cell r="S105">
            <v>1424150.92961</v>
          </cell>
        </row>
        <row r="106">
          <cell r="S106">
            <v>514515.87099999998</v>
          </cell>
        </row>
        <row r="109">
          <cell r="S109">
            <v>1731.27568</v>
          </cell>
        </row>
        <row r="110">
          <cell r="S110">
            <v>25203.101040000001</v>
          </cell>
        </row>
        <row r="111">
          <cell r="S111">
            <v>810603.11510000005</v>
          </cell>
        </row>
        <row r="112">
          <cell r="S112">
            <v>9295.0244999999995</v>
          </cell>
        </row>
        <row r="113">
          <cell r="S113">
            <v>46549.435310000001</v>
          </cell>
        </row>
        <row r="114">
          <cell r="S114">
            <v>2868.2003300000001</v>
          </cell>
        </row>
        <row r="115">
          <cell r="S115">
            <v>855678.13387000002</v>
          </cell>
        </row>
        <row r="116">
          <cell r="S116">
            <v>1431904.7120099999</v>
          </cell>
        </row>
        <row r="119">
          <cell r="S119">
            <v>699793.75208999997</v>
          </cell>
        </row>
        <row r="120">
          <cell r="S120">
            <v>168994.93323</v>
          </cell>
        </row>
        <row r="121">
          <cell r="S121">
            <v>637411.59817000001</v>
          </cell>
        </row>
        <row r="122">
          <cell r="S122">
            <v>32795.720999999998</v>
          </cell>
        </row>
        <row r="123">
          <cell r="S123">
            <v>104328.86699000001</v>
          </cell>
        </row>
        <row r="124">
          <cell r="S124">
            <v>18380.322400000001</v>
          </cell>
        </row>
        <row r="125">
          <cell r="S125">
            <v>593926.04876999999</v>
          </cell>
        </row>
        <row r="126">
          <cell r="S126">
            <v>801338.35138000001</v>
          </cell>
        </row>
        <row r="129">
          <cell r="S129">
            <v>1344138.5989399999</v>
          </cell>
        </row>
        <row r="130">
          <cell r="S130">
            <v>12728.55006</v>
          </cell>
        </row>
        <row r="131">
          <cell r="S131">
            <v>315318.01682000002</v>
          </cell>
        </row>
        <row r="132">
          <cell r="S132">
            <v>800010.45585999999</v>
          </cell>
        </row>
        <row r="133">
          <cell r="S133">
            <v>742009.76577000006</v>
          </cell>
        </row>
        <row r="135">
          <cell r="S135">
            <v>0</v>
          </cell>
        </row>
        <row r="136">
          <cell r="S136">
            <v>324076.75916999998</v>
          </cell>
        </row>
        <row r="138">
          <cell r="S138">
            <v>2283798.4076900003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4"/>
      <sheetName val="2007-2017"/>
    </sheetNames>
    <sheetDataSet>
      <sheetData sheetId="0">
        <row r="7">
          <cell r="S7">
            <v>116.77657000000001</v>
          </cell>
        </row>
        <row r="8">
          <cell r="S8">
            <v>3560160.18854</v>
          </cell>
        </row>
        <row r="10">
          <cell r="S10">
            <v>46211.426820000001</v>
          </cell>
        </row>
        <row r="11">
          <cell r="S11">
            <v>0</v>
          </cell>
        </row>
        <row r="12">
          <cell r="S12">
            <v>0</v>
          </cell>
        </row>
        <row r="15">
          <cell r="S15">
            <v>3169733.22523</v>
          </cell>
        </row>
        <row r="16">
          <cell r="S16">
            <v>344215.53649000003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2">
          <cell r="S32">
            <v>1.294</v>
          </cell>
        </row>
        <row r="33">
          <cell r="S33">
            <v>0</v>
          </cell>
        </row>
        <row r="34">
          <cell r="S34">
            <v>9469.1990000000005</v>
          </cell>
        </row>
        <row r="35">
          <cell r="S35">
            <v>19807.547999999999</v>
          </cell>
        </row>
        <row r="36">
          <cell r="S36">
            <v>177772.71019000001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50</v>
          </cell>
        </row>
        <row r="43">
          <cell r="S43">
            <v>99406.884529999996</v>
          </cell>
        </row>
        <row r="44">
          <cell r="S44">
            <v>0</v>
          </cell>
        </row>
        <row r="47">
          <cell r="S47">
            <v>2647.4679999999998</v>
          </cell>
        </row>
        <row r="48">
          <cell r="S48">
            <v>15322.94911</v>
          </cell>
        </row>
        <row r="49">
          <cell r="S49">
            <v>40110.341560000001</v>
          </cell>
        </row>
        <row r="50">
          <cell r="S50">
            <v>0</v>
          </cell>
        </row>
        <row r="51">
          <cell r="S51">
            <v>0</v>
          </cell>
        </row>
        <row r="57">
          <cell r="S57">
            <v>0</v>
          </cell>
        </row>
        <row r="58">
          <cell r="S58">
            <v>0</v>
          </cell>
        </row>
        <row r="60">
          <cell r="S60">
            <v>3513.4229999999998</v>
          </cell>
        </row>
        <row r="61">
          <cell r="S61">
            <v>0</v>
          </cell>
        </row>
        <row r="62">
          <cell r="S62">
            <v>3253.52738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558696.21649000002</v>
          </cell>
        </row>
        <row r="73">
          <cell r="S73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81">
          <cell r="S81">
            <v>0</v>
          </cell>
        </row>
        <row r="82">
          <cell r="S82">
            <v>600000</v>
          </cell>
        </row>
        <row r="83">
          <cell r="S83">
            <v>795025.06643999997</v>
          </cell>
        </row>
        <row r="84">
          <cell r="S84">
            <v>26000.577000000001</v>
          </cell>
        </row>
        <row r="85">
          <cell r="S85">
            <v>0</v>
          </cell>
        </row>
        <row r="87">
          <cell r="S87">
            <v>5177.2777100000003</v>
          </cell>
        </row>
        <row r="88">
          <cell r="S88">
            <v>203254.66475</v>
          </cell>
        </row>
        <row r="94">
          <cell r="S94">
            <v>3658255.9445399996</v>
          </cell>
        </row>
        <row r="95">
          <cell r="S95">
            <v>1319443.3539700001</v>
          </cell>
        </row>
        <row r="96">
          <cell r="S96">
            <v>4977699.2985100001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777.27828999999997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72.244119999999995</v>
          </cell>
        </row>
        <row r="105">
          <cell r="S105">
            <v>176610.52549</v>
          </cell>
        </row>
        <row r="106">
          <cell r="S106">
            <v>1214.7667799999999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3342.4520000000002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3433329.6942599998</v>
          </cell>
        </row>
        <row r="116">
          <cell r="S116">
            <v>201.47200000000001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2190.16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40422.351600000002</v>
          </cell>
        </row>
        <row r="126">
          <cell r="S126">
            <v>95</v>
          </cell>
        </row>
        <row r="129">
          <cell r="S129">
            <v>29676.213</v>
          </cell>
        </row>
        <row r="130">
          <cell r="S130">
            <v>2804.1866100000002</v>
          </cell>
        </row>
        <row r="131">
          <cell r="S131">
            <v>1155827.28896</v>
          </cell>
        </row>
        <row r="132">
          <cell r="S132">
            <v>93742.26</v>
          </cell>
        </row>
        <row r="133">
          <cell r="S133">
            <v>37393.405400000003</v>
          </cell>
        </row>
        <row r="135">
          <cell r="S135">
            <v>18659.22983</v>
          </cell>
        </row>
        <row r="136">
          <cell r="S136">
            <v>215760.94796000002</v>
          </cell>
        </row>
        <row r="138">
          <cell r="S138">
            <v>907666.63597000006</v>
          </cell>
        </row>
      </sheetData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4"/>
      <sheetName val="2007 - 2019"/>
    </sheetNames>
    <sheetDataSet>
      <sheetData sheetId="0">
        <row r="7">
          <cell r="T7">
            <v>92554.965710000004</v>
          </cell>
        </row>
        <row r="8">
          <cell r="T8">
            <v>3895147.3598799999</v>
          </cell>
        </row>
        <row r="10">
          <cell r="T10">
            <v>67617.185889999993</v>
          </cell>
        </row>
        <row r="11">
          <cell r="T11">
            <v>0</v>
          </cell>
        </row>
        <row r="12">
          <cell r="T12">
            <v>4127.06513</v>
          </cell>
        </row>
        <row r="15">
          <cell r="T15">
            <v>2699521.6973799998</v>
          </cell>
        </row>
        <row r="16">
          <cell r="T16">
            <v>1112851.4304800001</v>
          </cell>
        </row>
        <row r="17">
          <cell r="T17">
            <v>11029.981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654398.28399999999</v>
          </cell>
        </row>
        <row r="33">
          <cell r="T33">
            <v>90407.587700000004</v>
          </cell>
        </row>
        <row r="34">
          <cell r="T34">
            <v>425807.83989</v>
          </cell>
        </row>
        <row r="35">
          <cell r="T35">
            <v>204010.05077999999</v>
          </cell>
        </row>
        <row r="36">
          <cell r="T36">
            <v>3803862.6584899998</v>
          </cell>
        </row>
        <row r="40">
          <cell r="T40">
            <v>100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10516.11443</v>
          </cell>
        </row>
        <row r="44">
          <cell r="T44">
            <v>0</v>
          </cell>
        </row>
        <row r="47">
          <cell r="T47">
            <v>100512.624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7">
          <cell r="T57">
            <v>477116.95867000002</v>
          </cell>
        </row>
        <row r="58">
          <cell r="T58">
            <v>17447.25776</v>
          </cell>
        </row>
        <row r="60">
          <cell r="T60">
            <v>287134.23666</v>
          </cell>
        </row>
        <row r="61">
          <cell r="T61">
            <v>185452.60639</v>
          </cell>
        </row>
        <row r="62">
          <cell r="T62">
            <v>1094874.6488600001</v>
          </cell>
        </row>
        <row r="65">
          <cell r="T65">
            <v>0</v>
          </cell>
        </row>
        <row r="66">
          <cell r="T66">
            <v>25.549479999999999</v>
          </cell>
        </row>
        <row r="67">
          <cell r="T67">
            <v>0</v>
          </cell>
        </row>
        <row r="69">
          <cell r="T69">
            <v>2187.7689500000001</v>
          </cell>
        </row>
        <row r="70">
          <cell r="T70">
            <v>6.3348399999999998</v>
          </cell>
        </row>
        <row r="71">
          <cell r="T71">
            <v>9.7849199999999996</v>
          </cell>
        </row>
        <row r="72">
          <cell r="T72">
            <v>12294.199559999999</v>
          </cell>
        </row>
        <row r="73">
          <cell r="T73">
            <v>505.61900000000003</v>
          </cell>
        </row>
        <row r="75">
          <cell r="T75">
            <v>2640690.5493299998</v>
          </cell>
        </row>
        <row r="76">
          <cell r="T76">
            <v>79894.836509999994</v>
          </cell>
        </row>
        <row r="77">
          <cell r="T77">
            <v>2495.9788800000001</v>
          </cell>
        </row>
        <row r="78">
          <cell r="T78">
            <v>293292.86384000001</v>
          </cell>
        </row>
        <row r="81">
          <cell r="T81">
            <v>0</v>
          </cell>
        </row>
        <row r="82">
          <cell r="T82">
            <v>19.14</v>
          </cell>
        </row>
        <row r="83">
          <cell r="T83">
            <v>61933.834819999996</v>
          </cell>
        </row>
        <row r="84">
          <cell r="T84">
            <v>440889.6973</v>
          </cell>
        </row>
        <row r="85">
          <cell r="T85">
            <v>445789.36151999998</v>
          </cell>
        </row>
        <row r="87">
          <cell r="T87">
            <v>201288.14392999999</v>
          </cell>
        </row>
        <row r="88">
          <cell r="T88">
            <v>134834.63232999999</v>
          </cell>
        </row>
        <row r="94">
          <cell r="T94">
            <v>10046938.602530001</v>
          </cell>
        </row>
        <row r="95">
          <cell r="T95">
            <v>2815951.1067399997</v>
          </cell>
        </row>
        <row r="96">
          <cell r="T96">
            <v>12862889.70927</v>
          </cell>
        </row>
        <row r="99">
          <cell r="T99">
            <v>15679.80234</v>
          </cell>
        </row>
        <row r="100">
          <cell r="T100">
            <v>168569.50365</v>
          </cell>
        </row>
        <row r="101">
          <cell r="T101">
            <v>1306490.63549</v>
          </cell>
        </row>
        <row r="102">
          <cell r="T102">
            <v>5.9753999999999996</v>
          </cell>
        </row>
        <row r="103">
          <cell r="T103">
            <v>57910.88063</v>
          </cell>
        </row>
        <row r="104">
          <cell r="T104">
            <v>75370.817280000003</v>
          </cell>
        </row>
        <row r="105">
          <cell r="T105">
            <v>1593307.59708</v>
          </cell>
        </row>
        <row r="106">
          <cell r="T106">
            <v>515246.28668000002</v>
          </cell>
        </row>
        <row r="109">
          <cell r="T109">
            <v>960.77701999999999</v>
          </cell>
        </row>
        <row r="110">
          <cell r="T110">
            <v>26651.695680000001</v>
          </cell>
        </row>
        <row r="111">
          <cell r="T111">
            <v>825028.39792000002</v>
          </cell>
        </row>
        <row r="112">
          <cell r="T112">
            <v>6992.1345199999996</v>
          </cell>
        </row>
        <row r="113">
          <cell r="T113">
            <v>5901.2373399999997</v>
          </cell>
        </row>
        <row r="114">
          <cell r="T114">
            <v>2584.8511600000002</v>
          </cell>
        </row>
        <row r="115">
          <cell r="T115">
            <v>912020.75204000005</v>
          </cell>
        </row>
        <row r="116">
          <cell r="T116">
            <v>1387327.6195400001</v>
          </cell>
        </row>
        <row r="119">
          <cell r="T119">
            <v>703216.66614999995</v>
          </cell>
        </row>
        <row r="120">
          <cell r="T120">
            <v>181020.59417999999</v>
          </cell>
        </row>
        <row r="121">
          <cell r="T121">
            <v>689524.56139000005</v>
          </cell>
        </row>
        <row r="122">
          <cell r="T122">
            <v>31067.091</v>
          </cell>
        </row>
        <row r="123">
          <cell r="T123">
            <v>103814.41087000001</v>
          </cell>
        </row>
        <row r="124">
          <cell r="T124">
            <v>17418.945879999999</v>
          </cell>
        </row>
        <row r="125">
          <cell r="T125">
            <v>645610.03564000002</v>
          </cell>
        </row>
        <row r="126">
          <cell r="T126">
            <v>775217.33365000004</v>
          </cell>
        </row>
        <row r="129">
          <cell r="T129">
            <v>1212125.3496099999</v>
          </cell>
        </row>
        <row r="130">
          <cell r="T130">
            <v>16771.065559999999</v>
          </cell>
        </row>
        <row r="131">
          <cell r="T131">
            <v>236191.19670999999</v>
          </cell>
        </row>
        <row r="132">
          <cell r="T132">
            <v>649905.78156000003</v>
          </cell>
        </row>
        <row r="133">
          <cell r="T133">
            <v>700957.71329999994</v>
          </cell>
        </row>
        <row r="135">
          <cell r="T135">
            <v>2616.6735699999999</v>
          </cell>
        </row>
        <row r="136">
          <cell r="T136">
            <v>496020.62685</v>
          </cell>
        </row>
        <row r="138">
          <cell r="T138">
            <v>2293974.4782500002</v>
          </cell>
        </row>
      </sheetData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4"/>
      <sheetName val="2007-2017"/>
    </sheetNames>
    <sheetDataSet>
      <sheetData sheetId="0">
        <row r="7">
          <cell r="T7">
            <v>115.44302999999999</v>
          </cell>
        </row>
        <row r="8">
          <cell r="T8">
            <v>3295488.6549999998</v>
          </cell>
        </row>
        <row r="10">
          <cell r="T10">
            <v>42521.126530000001</v>
          </cell>
        </row>
        <row r="11">
          <cell r="T11">
            <v>0</v>
          </cell>
        </row>
        <row r="12">
          <cell r="T12">
            <v>0</v>
          </cell>
        </row>
        <row r="15">
          <cell r="T15">
            <v>3020690.3047199999</v>
          </cell>
        </row>
        <row r="16">
          <cell r="T16">
            <v>232277.22375</v>
          </cell>
        </row>
        <row r="17">
          <cell r="T17">
            <v>0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1.294</v>
          </cell>
        </row>
        <row r="33">
          <cell r="T33">
            <v>0</v>
          </cell>
        </row>
        <row r="34">
          <cell r="T34">
            <v>8541.0409999999993</v>
          </cell>
        </row>
        <row r="35">
          <cell r="T35">
            <v>19487.697</v>
          </cell>
        </row>
        <row r="36">
          <cell r="T36">
            <v>158326.33145999999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50</v>
          </cell>
        </row>
        <row r="43">
          <cell r="T43">
            <v>72733.357690000004</v>
          </cell>
        </row>
        <row r="44">
          <cell r="T44">
            <v>0</v>
          </cell>
        </row>
        <row r="47">
          <cell r="T47">
            <v>1664.36698</v>
          </cell>
        </row>
        <row r="48">
          <cell r="T48">
            <v>51347.374920000002</v>
          </cell>
        </row>
        <row r="49">
          <cell r="T49">
            <v>11127.05143</v>
          </cell>
        </row>
        <row r="50">
          <cell r="T50">
            <v>0</v>
          </cell>
        </row>
        <row r="51">
          <cell r="T51">
            <v>0</v>
          </cell>
        </row>
        <row r="57">
          <cell r="T57">
            <v>0</v>
          </cell>
        </row>
        <row r="58">
          <cell r="T58">
            <v>0</v>
          </cell>
        </row>
        <row r="60">
          <cell r="T60">
            <v>3607.3319999999999</v>
          </cell>
        </row>
        <row r="61">
          <cell r="T61">
            <v>0</v>
          </cell>
        </row>
        <row r="62">
          <cell r="T62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9">
          <cell r="T69">
            <v>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729301.46946000005</v>
          </cell>
        </row>
        <row r="73">
          <cell r="T73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81">
          <cell r="T81">
            <v>0</v>
          </cell>
        </row>
        <row r="82">
          <cell r="T82">
            <v>450000</v>
          </cell>
        </row>
        <row r="83">
          <cell r="T83">
            <v>981846.46262000001</v>
          </cell>
        </row>
        <row r="84">
          <cell r="T84">
            <v>26747.635890000001</v>
          </cell>
        </row>
        <row r="85">
          <cell r="T85">
            <v>0</v>
          </cell>
        </row>
        <row r="87">
          <cell r="T87">
            <v>4812.0732200000002</v>
          </cell>
        </row>
        <row r="88">
          <cell r="T88">
            <v>219147.85924000002</v>
          </cell>
        </row>
        <row r="94">
          <cell r="T94">
            <v>3910030.4647300006</v>
          </cell>
        </row>
        <row r="95">
          <cell r="T95">
            <v>983174.88179000001</v>
          </cell>
        </row>
        <row r="96">
          <cell r="T96">
            <v>4893205.3465200011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752.75540000000001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70.372630000000001</v>
          </cell>
        </row>
        <row r="105">
          <cell r="T105">
            <v>115864.065</v>
          </cell>
        </row>
        <row r="106">
          <cell r="T106">
            <v>1310.48062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3028.0830000000001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3758236.3127600001</v>
          </cell>
        </row>
        <row r="116">
          <cell r="T116">
            <v>10.038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53.628999999999998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30699.713319999999</v>
          </cell>
        </row>
        <row r="126">
          <cell r="T126">
            <v>5.0149999999999997</v>
          </cell>
        </row>
        <row r="129">
          <cell r="T129">
            <v>9598.3359999999993</v>
          </cell>
        </row>
        <row r="130">
          <cell r="T130">
            <v>2751.4298899999999</v>
          </cell>
        </row>
        <row r="131">
          <cell r="T131">
            <v>852650.68776</v>
          </cell>
        </row>
        <row r="132">
          <cell r="T132">
            <v>84307.528999999995</v>
          </cell>
        </row>
        <row r="133">
          <cell r="T133">
            <v>33866.899140000001</v>
          </cell>
        </row>
        <row r="135">
          <cell r="T135">
            <v>7823.93271</v>
          </cell>
        </row>
        <row r="136">
          <cell r="T136">
            <v>189207.61089000001</v>
          </cell>
        </row>
        <row r="138">
          <cell r="T138">
            <v>944108.55472000001</v>
          </cell>
        </row>
      </sheetData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4"/>
      <sheetName val="2007 - 2019"/>
    </sheetNames>
    <sheetDataSet>
      <sheetData sheetId="0">
        <row r="7">
          <cell r="U7">
            <v>81883.680720000004</v>
          </cell>
        </row>
        <row r="8">
          <cell r="U8">
            <v>3870605.6857500002</v>
          </cell>
        </row>
        <row r="10">
          <cell r="U10">
            <v>50369.020770000003</v>
          </cell>
        </row>
        <row r="11">
          <cell r="U11">
            <v>3610.8249999999998</v>
          </cell>
        </row>
        <row r="12">
          <cell r="U12">
            <v>6653.82161</v>
          </cell>
        </row>
        <row r="15">
          <cell r="U15">
            <v>2701241.4581300002</v>
          </cell>
        </row>
        <row r="16">
          <cell r="U16">
            <v>1096418.5652399999</v>
          </cell>
        </row>
        <row r="17">
          <cell r="U17">
            <v>12311.995000000001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563366.12300000002</v>
          </cell>
        </row>
        <row r="33">
          <cell r="U33">
            <v>93547.852960000004</v>
          </cell>
        </row>
        <row r="34">
          <cell r="U34">
            <v>382610.30314999999</v>
          </cell>
        </row>
        <row r="35">
          <cell r="U35">
            <v>210539.29691</v>
          </cell>
        </row>
        <row r="36">
          <cell r="U36">
            <v>3510238.93248</v>
          </cell>
        </row>
        <row r="40">
          <cell r="U40">
            <v>100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8241.7384299999994</v>
          </cell>
        </row>
        <row r="44">
          <cell r="U44">
            <v>0</v>
          </cell>
        </row>
        <row r="47">
          <cell r="U47">
            <v>100512.624</v>
          </cell>
        </row>
        <row r="48">
          <cell r="U48">
            <v>0</v>
          </cell>
        </row>
        <row r="49">
          <cell r="U49">
            <v>0</v>
          </cell>
        </row>
        <row r="50">
          <cell r="U50">
            <v>0</v>
          </cell>
        </row>
        <row r="51">
          <cell r="U51">
            <v>0</v>
          </cell>
        </row>
        <row r="57">
          <cell r="U57">
            <v>457921.37927999999</v>
          </cell>
        </row>
        <row r="58">
          <cell r="U58">
            <v>17214.585299999999</v>
          </cell>
        </row>
        <row r="60">
          <cell r="U60">
            <v>331734.80368999997</v>
          </cell>
        </row>
        <row r="61">
          <cell r="U61">
            <v>192801.08012</v>
          </cell>
        </row>
        <row r="62">
          <cell r="U62">
            <v>1033373.94724</v>
          </cell>
        </row>
        <row r="65">
          <cell r="U65">
            <v>0</v>
          </cell>
        </row>
        <row r="66">
          <cell r="U66">
            <v>33.986440000000002</v>
          </cell>
        </row>
        <row r="67">
          <cell r="U67">
            <v>0</v>
          </cell>
        </row>
        <row r="69">
          <cell r="U69">
            <v>1373.64157</v>
          </cell>
        </row>
        <row r="70">
          <cell r="U70">
            <v>8.3025000000000002</v>
          </cell>
        </row>
        <row r="71">
          <cell r="U71">
            <v>6.0754299999999999</v>
          </cell>
        </row>
        <row r="72">
          <cell r="U72">
            <v>12254.23893</v>
          </cell>
        </row>
        <row r="73">
          <cell r="U73">
            <v>0</v>
          </cell>
        </row>
        <row r="75">
          <cell r="U75">
            <v>2675375.2872700002</v>
          </cell>
        </row>
        <row r="76">
          <cell r="U76">
            <v>80742.480739999999</v>
          </cell>
        </row>
        <row r="77">
          <cell r="U77">
            <v>3519.9477999999999</v>
          </cell>
        </row>
        <row r="78">
          <cell r="U78">
            <v>298439.46586</v>
          </cell>
        </row>
        <row r="81">
          <cell r="U81">
            <v>0</v>
          </cell>
        </row>
        <row r="82">
          <cell r="U82">
            <v>10.564</v>
          </cell>
        </row>
        <row r="83">
          <cell r="U83">
            <v>48941.640749999999</v>
          </cell>
        </row>
        <row r="84">
          <cell r="U84">
            <v>480145.28541000001</v>
          </cell>
        </row>
        <row r="85">
          <cell r="U85">
            <v>441838.01491999999</v>
          </cell>
        </row>
        <row r="87">
          <cell r="U87">
            <v>200446.34669999999</v>
          </cell>
        </row>
        <row r="88">
          <cell r="U88">
            <v>109610.48375</v>
          </cell>
        </row>
        <row r="94">
          <cell r="U94">
            <v>9846387.9641899988</v>
          </cell>
        </row>
        <row r="95">
          <cell r="U95">
            <v>2490142.0703699999</v>
          </cell>
        </row>
        <row r="96">
          <cell r="U96">
            <v>12336530.034559999</v>
          </cell>
        </row>
        <row r="99">
          <cell r="U99">
            <v>22953.68838</v>
          </cell>
        </row>
        <row r="100">
          <cell r="U100">
            <v>161872.30596999999</v>
          </cell>
        </row>
        <row r="101">
          <cell r="U101">
            <v>1351344.83709</v>
          </cell>
        </row>
        <row r="102">
          <cell r="U102">
            <v>44.753630000000001</v>
          </cell>
        </row>
        <row r="103">
          <cell r="U103">
            <v>47898.698839999997</v>
          </cell>
        </row>
        <row r="104">
          <cell r="U104">
            <v>32068.556960000002</v>
          </cell>
        </row>
        <row r="105">
          <cell r="U105">
            <v>1499569.2142099999</v>
          </cell>
        </row>
        <row r="106">
          <cell r="U106">
            <v>520920.57931</v>
          </cell>
        </row>
        <row r="109">
          <cell r="U109">
            <v>1398.01214</v>
          </cell>
        </row>
        <row r="110">
          <cell r="U110">
            <v>25274.938279999998</v>
          </cell>
        </row>
        <row r="111">
          <cell r="U111">
            <v>844569.40060000005</v>
          </cell>
        </row>
        <row r="112">
          <cell r="U112">
            <v>12173.81049</v>
          </cell>
        </row>
        <row r="113">
          <cell r="U113">
            <v>4156.2694600000004</v>
          </cell>
        </row>
        <row r="114">
          <cell r="U114">
            <v>2931.6608200000001</v>
          </cell>
        </row>
        <row r="115">
          <cell r="U115">
            <v>795635.08880000003</v>
          </cell>
        </row>
        <row r="116">
          <cell r="U116">
            <v>1355538.13533</v>
          </cell>
        </row>
        <row r="119">
          <cell r="U119">
            <v>550380.88803999999</v>
          </cell>
        </row>
        <row r="120">
          <cell r="U120">
            <v>213161.48118</v>
          </cell>
        </row>
        <row r="121">
          <cell r="U121">
            <v>661719.61273000005</v>
          </cell>
        </row>
        <row r="122">
          <cell r="U122">
            <v>16699.456999999999</v>
          </cell>
        </row>
        <row r="123">
          <cell r="U123">
            <v>105123.53482</v>
          </cell>
        </row>
        <row r="124">
          <cell r="U124">
            <v>63029.02248</v>
          </cell>
        </row>
        <row r="125">
          <cell r="U125">
            <v>779428.91356000002</v>
          </cell>
        </row>
        <row r="126">
          <cell r="U126">
            <v>778495.10407</v>
          </cell>
        </row>
        <row r="129">
          <cell r="U129">
            <v>955899.77229999995</v>
          </cell>
        </row>
        <row r="130">
          <cell r="U130">
            <v>9167.3666699999994</v>
          </cell>
        </row>
        <row r="131">
          <cell r="U131">
            <v>167865.42697999999</v>
          </cell>
        </row>
        <row r="132">
          <cell r="U132">
            <v>653163.87017000001</v>
          </cell>
        </row>
        <row r="133">
          <cell r="U133">
            <v>704045.63425</v>
          </cell>
        </row>
        <row r="135">
          <cell r="U135">
            <v>5307.67425</v>
          </cell>
        </row>
        <row r="136">
          <cell r="U136">
            <v>472500.56173999998</v>
          </cell>
        </row>
        <row r="138">
          <cell r="U138">
            <v>2393099.5245500002</v>
          </cell>
        </row>
      </sheetData>
      <sheetData sheetId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4"/>
      <sheetName val="2007-2017"/>
    </sheetNames>
    <sheetDataSet>
      <sheetData sheetId="0">
        <row r="7">
          <cell r="U7">
            <v>114.38979</v>
          </cell>
        </row>
        <row r="8">
          <cell r="U8">
            <v>5119016.0209900001</v>
          </cell>
        </row>
        <row r="10">
          <cell r="U10">
            <v>39362.176169999999</v>
          </cell>
        </row>
        <row r="11">
          <cell r="U11">
            <v>0</v>
          </cell>
        </row>
        <row r="12">
          <cell r="U12">
            <v>0</v>
          </cell>
        </row>
        <row r="15">
          <cell r="U15">
            <v>4625307.7736999998</v>
          </cell>
        </row>
        <row r="16">
          <cell r="U16">
            <v>454346.07111999998</v>
          </cell>
        </row>
        <row r="17">
          <cell r="U17">
            <v>0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0</v>
          </cell>
        </row>
        <row r="33">
          <cell r="U33">
            <v>0</v>
          </cell>
        </row>
        <row r="34">
          <cell r="U34">
            <v>8556.0660000000007</v>
          </cell>
        </row>
        <row r="35">
          <cell r="U35">
            <v>15689.53</v>
          </cell>
        </row>
        <row r="36">
          <cell r="U36">
            <v>154230.204</v>
          </cell>
        </row>
        <row r="40">
          <cell r="U40">
            <v>0</v>
          </cell>
        </row>
        <row r="41">
          <cell r="U41">
            <v>0</v>
          </cell>
        </row>
        <row r="42">
          <cell r="U42">
            <v>50</v>
          </cell>
        </row>
        <row r="43">
          <cell r="U43">
            <v>23543.686119999998</v>
          </cell>
        </row>
        <row r="44">
          <cell r="U44">
            <v>0</v>
          </cell>
        </row>
        <row r="47">
          <cell r="U47">
            <v>9166.0536300000003</v>
          </cell>
        </row>
        <row r="48">
          <cell r="U48">
            <v>122000.44594000001</v>
          </cell>
        </row>
        <row r="49">
          <cell r="U49">
            <v>18110.87169</v>
          </cell>
        </row>
        <row r="50">
          <cell r="U50">
            <v>0</v>
          </cell>
        </row>
        <row r="51">
          <cell r="U51">
            <v>0</v>
          </cell>
        </row>
        <row r="57">
          <cell r="U57">
            <v>0</v>
          </cell>
        </row>
        <row r="58">
          <cell r="U58">
            <v>0</v>
          </cell>
        </row>
        <row r="60">
          <cell r="U60">
            <v>3703.8180000000002</v>
          </cell>
        </row>
        <row r="61">
          <cell r="U61">
            <v>0</v>
          </cell>
        </row>
        <row r="62">
          <cell r="U62">
            <v>42.59704</v>
          </cell>
        </row>
        <row r="65">
          <cell r="U65">
            <v>0</v>
          </cell>
        </row>
        <row r="66">
          <cell r="U66">
            <v>0</v>
          </cell>
        </row>
        <row r="67">
          <cell r="U67">
            <v>0</v>
          </cell>
        </row>
        <row r="69">
          <cell r="U69">
            <v>0</v>
          </cell>
        </row>
        <row r="70">
          <cell r="U70">
            <v>0</v>
          </cell>
        </row>
        <row r="71">
          <cell r="U71">
            <v>0</v>
          </cell>
        </row>
        <row r="72">
          <cell r="U72">
            <v>502887.42455</v>
          </cell>
        </row>
        <row r="73">
          <cell r="U73">
            <v>0</v>
          </cell>
        </row>
        <row r="75">
          <cell r="U75">
            <v>0</v>
          </cell>
        </row>
        <row r="76">
          <cell r="U76">
            <v>0</v>
          </cell>
        </row>
        <row r="77">
          <cell r="U77">
            <v>0</v>
          </cell>
        </row>
        <row r="78">
          <cell r="U78">
            <v>0</v>
          </cell>
        </row>
        <row r="81">
          <cell r="U81">
            <v>0</v>
          </cell>
        </row>
        <row r="82">
          <cell r="U82">
            <v>650000</v>
          </cell>
        </row>
        <row r="83">
          <cell r="U83">
            <v>828823.39914999995</v>
          </cell>
        </row>
        <row r="84">
          <cell r="U84">
            <v>18622.182000000001</v>
          </cell>
        </row>
        <row r="85">
          <cell r="U85">
            <v>1000</v>
          </cell>
        </row>
        <row r="87">
          <cell r="U87">
            <v>5169.2903900000001</v>
          </cell>
        </row>
        <row r="88">
          <cell r="U88">
            <v>216836.35399999999</v>
          </cell>
        </row>
        <row r="94">
          <cell r="U94">
            <v>5222313.5381899998</v>
          </cell>
        </row>
        <row r="95">
          <cell r="U95">
            <v>1122631.7823399999</v>
          </cell>
        </row>
        <row r="96">
          <cell r="U96">
            <v>6344945.3205299992</v>
          </cell>
        </row>
        <row r="99">
          <cell r="U99">
            <v>0</v>
          </cell>
        </row>
        <row r="100">
          <cell r="U100">
            <v>0</v>
          </cell>
        </row>
        <row r="101">
          <cell r="U101">
            <v>153.84961999999999</v>
          </cell>
        </row>
        <row r="102">
          <cell r="U102">
            <v>0</v>
          </cell>
        </row>
        <row r="103">
          <cell r="U103">
            <v>0</v>
          </cell>
        </row>
        <row r="104">
          <cell r="U104">
            <v>0</v>
          </cell>
        </row>
        <row r="105">
          <cell r="U105">
            <v>150234.17765</v>
          </cell>
        </row>
        <row r="106">
          <cell r="U106">
            <v>674.05525</v>
          </cell>
        </row>
        <row r="109">
          <cell r="U109">
            <v>0</v>
          </cell>
        </row>
        <row r="110">
          <cell r="U110">
            <v>0</v>
          </cell>
        </row>
        <row r="111">
          <cell r="U111">
            <v>423.37200000000001</v>
          </cell>
        </row>
        <row r="112">
          <cell r="U112">
            <v>0</v>
          </cell>
        </row>
        <row r="113">
          <cell r="U113">
            <v>0</v>
          </cell>
        </row>
        <row r="114">
          <cell r="U114">
            <v>0</v>
          </cell>
        </row>
        <row r="115">
          <cell r="U115">
            <v>5041737.8836700004</v>
          </cell>
        </row>
        <row r="116">
          <cell r="U116">
            <v>0.14499999999999999</v>
          </cell>
        </row>
        <row r="119">
          <cell r="U119">
            <v>0</v>
          </cell>
        </row>
        <row r="120">
          <cell r="U120">
            <v>0</v>
          </cell>
        </row>
        <row r="121">
          <cell r="U121">
            <v>2554.201</v>
          </cell>
        </row>
        <row r="122">
          <cell r="U122">
            <v>0</v>
          </cell>
        </row>
        <row r="123">
          <cell r="U123">
            <v>0</v>
          </cell>
        </row>
        <row r="124">
          <cell r="U124">
            <v>0</v>
          </cell>
        </row>
        <row r="125">
          <cell r="U125">
            <v>26530.839</v>
          </cell>
        </row>
        <row r="126">
          <cell r="U126">
            <v>5.0149999999999997</v>
          </cell>
        </row>
        <row r="129">
          <cell r="U129">
            <v>5440.076</v>
          </cell>
        </row>
        <row r="130">
          <cell r="U130">
            <v>2797.99334</v>
          </cell>
        </row>
        <row r="131">
          <cell r="U131">
            <v>1002277.96951</v>
          </cell>
        </row>
        <row r="132">
          <cell r="U132">
            <v>82125.513000000006</v>
          </cell>
        </row>
        <row r="133">
          <cell r="U133">
            <v>29990.230490000002</v>
          </cell>
        </row>
        <row r="135">
          <cell r="U135">
            <v>150507.80566000001</v>
          </cell>
        </row>
        <row r="136">
          <cell r="U136">
            <v>226523.60430000001</v>
          </cell>
        </row>
        <row r="138">
          <cell r="U138">
            <v>975585.60223000008</v>
          </cell>
        </row>
      </sheetData>
      <sheetData sheetId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4"/>
      <sheetName val="2007 - 2019"/>
    </sheetNames>
    <sheetDataSet>
      <sheetData sheetId="0">
        <row r="7">
          <cell r="V7">
            <v>90970.048120000007</v>
          </cell>
        </row>
        <row r="8">
          <cell r="V8">
            <v>4030966.0262400005</v>
          </cell>
        </row>
        <row r="10">
          <cell r="V10">
            <v>46060.6253</v>
          </cell>
        </row>
        <row r="11">
          <cell r="V11">
            <v>74805.303</v>
          </cell>
        </row>
        <row r="12">
          <cell r="V12">
            <v>10674.35795</v>
          </cell>
        </row>
        <row r="15">
          <cell r="V15">
            <v>2606354.0717600002</v>
          </cell>
        </row>
        <row r="16">
          <cell r="V16">
            <v>1279031.28623</v>
          </cell>
        </row>
        <row r="17">
          <cell r="V17">
            <v>14040.382</v>
          </cell>
        </row>
        <row r="18">
          <cell r="V18">
            <v>0</v>
          </cell>
        </row>
        <row r="19">
          <cell r="V19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54783.197999999997</v>
          </cell>
        </row>
        <row r="29">
          <cell r="V29">
            <v>0</v>
          </cell>
        </row>
        <row r="32">
          <cell r="V32">
            <v>117283.22500000001</v>
          </cell>
        </row>
        <row r="33">
          <cell r="V33">
            <v>88660.374309999999</v>
          </cell>
        </row>
        <row r="34">
          <cell r="V34">
            <v>347236.82381999999</v>
          </cell>
        </row>
        <row r="35">
          <cell r="V35">
            <v>219139.15997000001</v>
          </cell>
        </row>
        <row r="36">
          <cell r="V36">
            <v>3762338.0936599998</v>
          </cell>
        </row>
        <row r="40">
          <cell r="V40">
            <v>100</v>
          </cell>
        </row>
        <row r="41">
          <cell r="V41">
            <v>0</v>
          </cell>
        </row>
        <row r="42">
          <cell r="V42">
            <v>0</v>
          </cell>
        </row>
        <row r="43">
          <cell r="V43">
            <v>8538.8604300000006</v>
          </cell>
        </row>
        <row r="44">
          <cell r="V44">
            <v>0</v>
          </cell>
        </row>
        <row r="47">
          <cell r="V47">
            <v>100512.624</v>
          </cell>
        </row>
        <row r="48">
          <cell r="V48">
            <v>0</v>
          </cell>
        </row>
        <row r="49">
          <cell r="V49">
            <v>0</v>
          </cell>
        </row>
        <row r="50">
          <cell r="V50">
            <v>0</v>
          </cell>
        </row>
        <row r="51">
          <cell r="V51">
            <v>0</v>
          </cell>
        </row>
        <row r="57">
          <cell r="V57">
            <v>448919.69270000001</v>
          </cell>
        </row>
        <row r="58">
          <cell r="V58">
            <v>20176.91445</v>
          </cell>
        </row>
        <row r="60">
          <cell r="V60">
            <v>342406.33630999998</v>
          </cell>
        </row>
        <row r="61">
          <cell r="V61">
            <v>174320.08640999999</v>
          </cell>
        </row>
        <row r="62">
          <cell r="V62">
            <v>1062007.4651800001</v>
          </cell>
        </row>
        <row r="65">
          <cell r="V65">
            <v>0</v>
          </cell>
        </row>
        <row r="66">
          <cell r="V66">
            <v>558.26180999999997</v>
          </cell>
        </row>
        <row r="67">
          <cell r="V67">
            <v>0</v>
          </cell>
        </row>
        <row r="69">
          <cell r="V69">
            <v>1086.1953100000001</v>
          </cell>
        </row>
        <row r="70">
          <cell r="V70">
            <v>4.6972699999999996</v>
          </cell>
        </row>
        <row r="71">
          <cell r="V71">
            <v>9.8295999999999992</v>
          </cell>
        </row>
        <row r="72">
          <cell r="V72">
            <v>13693.08617</v>
          </cell>
        </row>
        <row r="73">
          <cell r="V73">
            <v>0</v>
          </cell>
        </row>
        <row r="75">
          <cell r="V75">
            <v>2698543.6724399999</v>
          </cell>
        </row>
        <row r="76">
          <cell r="V76">
            <v>84466.014429999996</v>
          </cell>
        </row>
        <row r="77">
          <cell r="V77">
            <v>3000.6859599999998</v>
          </cell>
        </row>
        <row r="78">
          <cell r="V78">
            <v>305954.12066000002</v>
          </cell>
        </row>
        <row r="81">
          <cell r="V81">
            <v>0</v>
          </cell>
        </row>
        <row r="82">
          <cell r="V82">
            <v>51.09</v>
          </cell>
        </row>
        <row r="83">
          <cell r="V83">
            <v>34569.350879999998</v>
          </cell>
        </row>
        <row r="84">
          <cell r="V84">
            <v>505744.41096000001</v>
          </cell>
        </row>
        <row r="85">
          <cell r="V85">
            <v>437408.56946999999</v>
          </cell>
        </row>
        <row r="87">
          <cell r="V87">
            <v>195843.66013999999</v>
          </cell>
        </row>
        <row r="88">
          <cell r="V88">
            <v>111831.75481</v>
          </cell>
        </row>
        <row r="94">
          <cell r="V94">
            <v>10365489.369520001</v>
          </cell>
        </row>
        <row r="95">
          <cell r="V95">
            <v>2045018.86252</v>
          </cell>
        </row>
        <row r="96">
          <cell r="V96">
            <v>12410508.232040001</v>
          </cell>
        </row>
        <row r="99">
          <cell r="V99">
            <v>79076.959390000004</v>
          </cell>
        </row>
        <row r="100">
          <cell r="V100">
            <v>118618.72645</v>
          </cell>
        </row>
        <row r="101">
          <cell r="V101">
            <v>1575858.3646800001</v>
          </cell>
        </row>
        <row r="102">
          <cell r="V102">
            <v>47.820360000000001</v>
          </cell>
        </row>
        <row r="103">
          <cell r="V103">
            <v>42023.95594</v>
          </cell>
        </row>
        <row r="104">
          <cell r="V104">
            <v>35319.160510000002</v>
          </cell>
        </row>
        <row r="105">
          <cell r="V105">
            <v>1645498.7266800001</v>
          </cell>
        </row>
        <row r="106">
          <cell r="V106">
            <v>492923.75936999999</v>
          </cell>
        </row>
        <row r="109">
          <cell r="V109">
            <v>1477.5751</v>
          </cell>
        </row>
        <row r="110">
          <cell r="V110">
            <v>31733.905340000001</v>
          </cell>
        </row>
        <row r="111">
          <cell r="V111">
            <v>881962.37216000003</v>
          </cell>
        </row>
        <row r="112">
          <cell r="V112">
            <v>12045.24216</v>
          </cell>
        </row>
        <row r="113">
          <cell r="V113">
            <v>9046.9337599999999</v>
          </cell>
        </row>
        <row r="114">
          <cell r="V114">
            <v>4331.6215000000002</v>
          </cell>
        </row>
        <row r="115">
          <cell r="V115">
            <v>735720.84681000002</v>
          </cell>
        </row>
        <row r="116">
          <cell r="V116">
            <v>1378392.34562</v>
          </cell>
        </row>
        <row r="119">
          <cell r="V119">
            <v>714179.47915000003</v>
          </cell>
        </row>
        <row r="120">
          <cell r="V120">
            <v>234438.91028000001</v>
          </cell>
        </row>
        <row r="121">
          <cell r="V121">
            <v>725150.27494999999</v>
          </cell>
        </row>
        <row r="122">
          <cell r="V122">
            <v>10916.337</v>
          </cell>
        </row>
        <row r="123">
          <cell r="V123">
            <v>106372.30418000001</v>
          </cell>
        </row>
        <row r="124">
          <cell r="V124">
            <v>60608.621800000001</v>
          </cell>
        </row>
        <row r="125">
          <cell r="V125">
            <v>673273.07360999996</v>
          </cell>
        </row>
        <row r="126">
          <cell r="V126">
            <v>796472.05272000004</v>
          </cell>
        </row>
        <row r="129">
          <cell r="V129">
            <v>520335.44565000001</v>
          </cell>
        </row>
        <row r="130">
          <cell r="V130">
            <v>12316.95903</v>
          </cell>
        </row>
        <row r="131">
          <cell r="V131">
            <v>154426.18114999999</v>
          </cell>
        </row>
        <row r="132">
          <cell r="V132">
            <v>675782.52657999995</v>
          </cell>
        </row>
        <row r="133">
          <cell r="V133">
            <v>682157.75011000002</v>
          </cell>
        </row>
        <row r="135">
          <cell r="V135">
            <v>2282.42994</v>
          </cell>
        </row>
        <row r="136">
          <cell r="V136">
            <v>418146.15143999999</v>
          </cell>
        </row>
        <row r="138">
          <cell r="V138">
            <v>2430187.5138400001</v>
          </cell>
        </row>
      </sheetData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4"/>
      <sheetName val="2007-2017"/>
    </sheetNames>
    <sheetDataSet>
      <sheetData sheetId="0">
        <row r="7">
          <cell r="V7">
            <v>11681.0897</v>
          </cell>
        </row>
        <row r="8">
          <cell r="V8">
            <v>3882428.45206</v>
          </cell>
        </row>
        <row r="10">
          <cell r="V10">
            <v>39380.162710000004</v>
          </cell>
        </row>
        <row r="11">
          <cell r="V11">
            <v>0</v>
          </cell>
        </row>
        <row r="12">
          <cell r="V12">
            <v>0</v>
          </cell>
        </row>
        <row r="15">
          <cell r="V15">
            <v>3488822.7978500002</v>
          </cell>
        </row>
        <row r="16">
          <cell r="V16">
            <v>354225.4915</v>
          </cell>
        </row>
        <row r="17">
          <cell r="V17">
            <v>0</v>
          </cell>
        </row>
        <row r="18">
          <cell r="V18">
            <v>0</v>
          </cell>
        </row>
        <row r="19">
          <cell r="V19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0</v>
          </cell>
        </row>
        <row r="29">
          <cell r="V29">
            <v>0</v>
          </cell>
        </row>
        <row r="32">
          <cell r="V32">
            <v>0</v>
          </cell>
        </row>
        <row r="33">
          <cell r="V33">
            <v>0</v>
          </cell>
        </row>
        <row r="34">
          <cell r="V34">
            <v>10477.427</v>
          </cell>
        </row>
        <row r="35">
          <cell r="V35">
            <v>14675.973</v>
          </cell>
        </row>
        <row r="36">
          <cell r="V36">
            <v>162804.99</v>
          </cell>
        </row>
        <row r="40">
          <cell r="V40">
            <v>0</v>
          </cell>
        </row>
        <row r="41">
          <cell r="V41">
            <v>0</v>
          </cell>
        </row>
        <row r="42">
          <cell r="V42">
            <v>50</v>
          </cell>
        </row>
        <row r="43">
          <cell r="V43">
            <v>157772.94962</v>
          </cell>
        </row>
        <row r="44">
          <cell r="V44">
            <v>0</v>
          </cell>
        </row>
        <row r="47">
          <cell r="V47">
            <v>1227.9780800000001</v>
          </cell>
        </row>
        <row r="48">
          <cell r="V48">
            <v>15109.48856</v>
          </cell>
        </row>
        <row r="49">
          <cell r="V49">
            <v>107508.17509</v>
          </cell>
        </row>
        <row r="50">
          <cell r="V50">
            <v>0</v>
          </cell>
        </row>
        <row r="51">
          <cell r="V51">
            <v>0</v>
          </cell>
        </row>
        <row r="57">
          <cell r="V57">
            <v>0</v>
          </cell>
        </row>
        <row r="58">
          <cell r="V58">
            <v>0</v>
          </cell>
        </row>
        <row r="60">
          <cell r="V60">
            <v>3797.2040000000002</v>
          </cell>
        </row>
        <row r="61">
          <cell r="V61">
            <v>43.19706</v>
          </cell>
        </row>
        <row r="62">
          <cell r="V62">
            <v>0</v>
          </cell>
        </row>
        <row r="65">
          <cell r="V65">
            <v>0</v>
          </cell>
        </row>
        <row r="66">
          <cell r="V66">
            <v>0</v>
          </cell>
        </row>
        <row r="67">
          <cell r="V67">
            <v>0</v>
          </cell>
        </row>
        <row r="69">
          <cell r="V69">
            <v>0</v>
          </cell>
        </row>
        <row r="70">
          <cell r="V70">
            <v>0</v>
          </cell>
        </row>
        <row r="71">
          <cell r="V71">
            <v>0</v>
          </cell>
        </row>
        <row r="72">
          <cell r="V72">
            <v>795208.16617999994</v>
          </cell>
        </row>
        <row r="73">
          <cell r="V73">
            <v>0</v>
          </cell>
        </row>
        <row r="75">
          <cell r="V75">
            <v>0</v>
          </cell>
        </row>
        <row r="76">
          <cell r="V76">
            <v>0</v>
          </cell>
        </row>
        <row r="77">
          <cell r="V77">
            <v>0</v>
          </cell>
        </row>
        <row r="78">
          <cell r="V78">
            <v>0</v>
          </cell>
        </row>
        <row r="81">
          <cell r="V81">
            <v>0</v>
          </cell>
        </row>
        <row r="82">
          <cell r="V82">
            <v>800000</v>
          </cell>
        </row>
        <row r="83">
          <cell r="V83">
            <v>646523.74552</v>
          </cell>
        </row>
        <row r="84">
          <cell r="V84">
            <v>12988.796</v>
          </cell>
        </row>
        <row r="85">
          <cell r="V85">
            <v>0</v>
          </cell>
        </row>
        <row r="87">
          <cell r="V87">
            <v>6435.2155199999997</v>
          </cell>
        </row>
        <row r="88">
          <cell r="V88">
            <v>212389.64822</v>
          </cell>
        </row>
        <row r="94">
          <cell r="V94">
            <v>4316321.1590600004</v>
          </cell>
        </row>
        <row r="95">
          <cell r="V95">
            <v>1176733.54767</v>
          </cell>
        </row>
        <row r="96">
          <cell r="V96">
            <v>5493054.7067300007</v>
          </cell>
        </row>
        <row r="99">
          <cell r="V99">
            <v>0</v>
          </cell>
        </row>
        <row r="100">
          <cell r="V100">
            <v>0</v>
          </cell>
        </row>
        <row r="101">
          <cell r="V101">
            <v>1958.54684</v>
          </cell>
        </row>
        <row r="102">
          <cell r="V102">
            <v>0</v>
          </cell>
        </row>
        <row r="103">
          <cell r="V103">
            <v>0</v>
          </cell>
        </row>
        <row r="104">
          <cell r="V104">
            <v>0</v>
          </cell>
        </row>
        <row r="105">
          <cell r="V105">
            <v>99019.10557</v>
          </cell>
        </row>
        <row r="106">
          <cell r="V106">
            <v>1124.55981</v>
          </cell>
        </row>
        <row r="109">
          <cell r="V109">
            <v>0</v>
          </cell>
        </row>
        <row r="110">
          <cell r="V110">
            <v>0</v>
          </cell>
        </row>
        <row r="111">
          <cell r="V111">
            <v>416.62799999999999</v>
          </cell>
        </row>
        <row r="112">
          <cell r="V112">
            <v>0</v>
          </cell>
        </row>
        <row r="113">
          <cell r="V113">
            <v>0</v>
          </cell>
        </row>
        <row r="114">
          <cell r="V114">
            <v>0</v>
          </cell>
        </row>
        <row r="115">
          <cell r="V115">
            <v>4192842.9738400001</v>
          </cell>
        </row>
        <row r="116">
          <cell r="V116">
            <v>0.122</v>
          </cell>
        </row>
        <row r="119">
          <cell r="V119">
            <v>0</v>
          </cell>
        </row>
        <row r="120">
          <cell r="V120">
            <v>0</v>
          </cell>
        </row>
        <row r="121">
          <cell r="V121">
            <v>2554.2080000000001</v>
          </cell>
        </row>
        <row r="122">
          <cell r="V122">
            <v>0</v>
          </cell>
        </row>
        <row r="123">
          <cell r="V123">
            <v>0</v>
          </cell>
        </row>
        <row r="124">
          <cell r="V124">
            <v>0</v>
          </cell>
        </row>
        <row r="125">
          <cell r="V125">
            <v>18400</v>
          </cell>
        </row>
        <row r="126">
          <cell r="V126">
            <v>5.0149999999999997</v>
          </cell>
        </row>
        <row r="129">
          <cell r="V129">
            <v>3820.402</v>
          </cell>
        </row>
        <row r="130">
          <cell r="V130">
            <v>3390.6829699999998</v>
          </cell>
        </row>
        <row r="131">
          <cell r="V131">
            <v>1062722.85577</v>
          </cell>
        </row>
        <row r="132">
          <cell r="V132">
            <v>77772.152000000002</v>
          </cell>
        </row>
        <row r="133">
          <cell r="V133">
            <v>29027.45493</v>
          </cell>
        </row>
        <row r="135">
          <cell r="V135">
            <v>52326.896359999999</v>
          </cell>
        </row>
        <row r="136">
          <cell r="V136">
            <v>351359.51922999998</v>
          </cell>
        </row>
        <row r="138">
          <cell r="V138">
            <v>944381.37329000002</v>
          </cell>
        </row>
      </sheetData>
      <sheetData sheetId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5"/>
      <sheetName val="2007 - 2019"/>
    </sheetNames>
    <sheetDataSet>
      <sheetData sheetId="0">
        <row r="7">
          <cell r="W7">
            <v>73207.307589999997</v>
          </cell>
        </row>
        <row r="8">
          <cell r="W8">
            <v>3957538.8501499994</v>
          </cell>
        </row>
        <row r="9">
          <cell r="W9">
            <v>147758.21965000001</v>
          </cell>
        </row>
        <row r="10">
          <cell r="W10">
            <v>46568.62945</v>
          </cell>
        </row>
        <row r="11">
          <cell r="W11">
            <v>99672.616999999998</v>
          </cell>
        </row>
        <row r="12">
          <cell r="W12">
            <v>1516.9731999999999</v>
          </cell>
        </row>
        <row r="14">
          <cell r="W14">
            <v>3809780.6304999995</v>
          </cell>
        </row>
        <row r="15">
          <cell r="W15">
            <v>2601625.8061099998</v>
          </cell>
        </row>
        <row r="16">
          <cell r="W16">
            <v>1194020.66839</v>
          </cell>
        </row>
        <row r="17">
          <cell r="W17">
            <v>14134.156000000001</v>
          </cell>
        </row>
        <row r="18">
          <cell r="W18">
            <v>0</v>
          </cell>
        </row>
        <row r="19">
          <cell r="W19">
            <v>0</v>
          </cell>
        </row>
        <row r="21">
          <cell r="W21">
            <v>4702225.7490299996</v>
          </cell>
        </row>
        <row r="22">
          <cell r="W22">
            <v>55601.038</v>
          </cell>
        </row>
        <row r="23">
          <cell r="W23">
            <v>0</v>
          </cell>
        </row>
        <row r="24">
          <cell r="W24">
            <v>0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55601.038</v>
          </cell>
        </row>
        <row r="29">
          <cell r="W29">
            <v>0</v>
          </cell>
        </row>
        <row r="31">
          <cell r="W31">
            <v>4646624.7110299999</v>
          </cell>
        </row>
        <row r="32">
          <cell r="W32">
            <v>123519.853</v>
          </cell>
        </row>
        <row r="33">
          <cell r="W33">
            <v>55427.726620000001</v>
          </cell>
        </row>
        <row r="34">
          <cell r="W34">
            <v>346129.17142999999</v>
          </cell>
        </row>
        <row r="35">
          <cell r="W35">
            <v>225258.95689999999</v>
          </cell>
        </row>
        <row r="36">
          <cell r="W36">
            <v>3896289.0030800002</v>
          </cell>
        </row>
        <row r="38">
          <cell r="W38">
            <v>86257.827430000005</v>
          </cell>
        </row>
        <row r="39">
          <cell r="W39">
            <v>8634.83043</v>
          </cell>
        </row>
        <row r="40">
          <cell r="W40">
            <v>100</v>
          </cell>
        </row>
        <row r="41">
          <cell r="W41">
            <v>0</v>
          </cell>
        </row>
        <row r="42">
          <cell r="W42">
            <v>0</v>
          </cell>
        </row>
        <row r="43">
          <cell r="W43">
            <v>8534.83043</v>
          </cell>
        </row>
        <row r="44">
          <cell r="W44">
            <v>0</v>
          </cell>
        </row>
        <row r="46">
          <cell r="W46">
            <v>77622.997000000003</v>
          </cell>
        </row>
        <row r="47">
          <cell r="W47">
            <v>77622.997000000003</v>
          </cell>
        </row>
        <row r="48">
          <cell r="W48">
            <v>0</v>
          </cell>
        </row>
        <row r="49">
          <cell r="W49">
            <v>0</v>
          </cell>
        </row>
        <row r="50">
          <cell r="W50">
            <v>0</v>
          </cell>
        </row>
        <row r="51">
          <cell r="W51">
            <v>0</v>
          </cell>
        </row>
        <row r="55">
          <cell r="W55">
            <v>6058390.5578899989</v>
          </cell>
        </row>
        <row r="56">
          <cell r="W56">
            <v>5195523.6258799993</v>
          </cell>
        </row>
        <row r="57">
          <cell r="W57">
            <v>430619.32909999997</v>
          </cell>
        </row>
        <row r="58">
          <cell r="W58">
            <v>20791.523349999999</v>
          </cell>
        </row>
        <row r="59">
          <cell r="W59">
            <v>1602064.3000399999</v>
          </cell>
        </row>
        <row r="60">
          <cell r="W60">
            <v>369537.69517000002</v>
          </cell>
        </row>
        <row r="61">
          <cell r="W61">
            <v>181359.69920999999</v>
          </cell>
        </row>
        <row r="62">
          <cell r="W62">
            <v>1051166.9056599999</v>
          </cell>
        </row>
        <row r="63">
          <cell r="W63">
            <v>16567.042990000002</v>
          </cell>
        </row>
        <row r="64">
          <cell r="W64">
            <v>1865.13221</v>
          </cell>
        </row>
        <row r="65">
          <cell r="W65">
            <v>0</v>
          </cell>
        </row>
        <row r="66">
          <cell r="W66">
            <v>1865.13221</v>
          </cell>
        </row>
        <row r="67">
          <cell r="W67">
            <v>0</v>
          </cell>
        </row>
        <row r="68">
          <cell r="W68">
            <v>14701.91078</v>
          </cell>
        </row>
        <row r="69">
          <cell r="W69">
            <v>1043.5731499999999</v>
          </cell>
        </row>
        <row r="70">
          <cell r="W70">
            <v>0</v>
          </cell>
        </row>
        <row r="71">
          <cell r="W71">
            <v>9.1077300000000001</v>
          </cell>
        </row>
        <row r="72">
          <cell r="W72">
            <v>13649.2299</v>
          </cell>
        </row>
        <row r="73">
          <cell r="W73">
            <v>0</v>
          </cell>
        </row>
        <row r="74">
          <cell r="W74">
            <v>3125481.4303999995</v>
          </cell>
        </row>
        <row r="75">
          <cell r="W75">
            <v>2722836.1429599999</v>
          </cell>
        </row>
        <row r="76">
          <cell r="W76">
            <v>86174.423309999998</v>
          </cell>
        </row>
        <row r="77">
          <cell r="W77">
            <v>2842.5575800000001</v>
          </cell>
        </row>
        <row r="78">
          <cell r="W78">
            <v>313628.30654999998</v>
          </cell>
        </row>
        <row r="80">
          <cell r="W80">
            <v>862866.93200999999</v>
          </cell>
        </row>
        <row r="81">
          <cell r="W81">
            <v>0</v>
          </cell>
        </row>
        <row r="82">
          <cell r="W82">
            <v>87.165999999999997</v>
          </cell>
        </row>
        <row r="83">
          <cell r="W83">
            <v>41699.908289999999</v>
          </cell>
        </row>
        <row r="84">
          <cell r="W84">
            <v>474071.59646999999</v>
          </cell>
        </row>
        <row r="85">
          <cell r="W85">
            <v>347008.26124999998</v>
          </cell>
        </row>
        <row r="87">
          <cell r="W87">
            <v>192975.30882999999</v>
          </cell>
        </row>
        <row r="88">
          <cell r="W88">
            <v>149453.2279</v>
          </cell>
        </row>
        <row r="89">
          <cell r="W89">
            <v>15220048.828819999</v>
          </cell>
        </row>
        <row r="94">
          <cell r="W94">
            <v>10432517.127489999</v>
          </cell>
        </row>
        <row r="95">
          <cell r="W95">
            <v>1772251.8245899999</v>
          </cell>
        </row>
        <row r="96">
          <cell r="W96">
            <v>12204768.952079998</v>
          </cell>
        </row>
        <row r="98">
          <cell r="W98">
            <v>3786233.5594199998</v>
          </cell>
        </row>
        <row r="99">
          <cell r="W99">
            <v>37472.348709999998</v>
          </cell>
        </row>
        <row r="100">
          <cell r="W100">
            <v>165065.65380999999</v>
          </cell>
        </row>
        <row r="101">
          <cell r="W101">
            <v>1465853.0408300001</v>
          </cell>
        </row>
        <row r="102">
          <cell r="W102">
            <v>20.5457</v>
          </cell>
        </row>
        <row r="103">
          <cell r="W103">
            <v>56320.103159999999</v>
          </cell>
        </row>
        <row r="104">
          <cell r="W104">
            <v>25460.47854</v>
          </cell>
        </row>
        <row r="105">
          <cell r="W105">
            <v>1505716.55271</v>
          </cell>
        </row>
        <row r="106">
          <cell r="W106">
            <v>530324.83596000005</v>
          </cell>
        </row>
        <row r="108">
          <cell r="W108">
            <v>3131131.1682000002</v>
          </cell>
        </row>
        <row r="109">
          <cell r="W109">
            <v>2237.0499199999999</v>
          </cell>
        </row>
        <row r="110">
          <cell r="W110">
            <v>21167.840909999999</v>
          </cell>
        </row>
        <row r="111">
          <cell r="W111">
            <v>833171.56856000004</v>
          </cell>
        </row>
        <row r="112">
          <cell r="W112">
            <v>10472.91805</v>
          </cell>
        </row>
        <row r="113">
          <cell r="W113">
            <v>10363.642400000001</v>
          </cell>
        </row>
        <row r="114">
          <cell r="W114">
            <v>3794.2507599999999</v>
          </cell>
        </row>
        <row r="115">
          <cell r="W115">
            <v>767424.35522000003</v>
          </cell>
        </row>
        <row r="116">
          <cell r="W116">
            <v>1482499.54238</v>
          </cell>
        </row>
        <row r="118">
          <cell r="W118">
            <v>3515152.3998699998</v>
          </cell>
        </row>
        <row r="119">
          <cell r="W119">
            <v>715299.00301999995</v>
          </cell>
        </row>
        <row r="120">
          <cell r="W120">
            <v>251182.18895000001</v>
          </cell>
        </row>
        <row r="121">
          <cell r="W121">
            <v>888909.10661999998</v>
          </cell>
        </row>
        <row r="122">
          <cell r="W122">
            <v>11029.84</v>
          </cell>
        </row>
        <row r="123">
          <cell r="W123">
            <v>107001.3731</v>
          </cell>
        </row>
        <row r="124">
          <cell r="W124">
            <v>63111.870719999999</v>
          </cell>
        </row>
        <row r="125">
          <cell r="W125">
            <v>653170.66446999996</v>
          </cell>
        </row>
        <row r="126">
          <cell r="W126">
            <v>825448.35299000004</v>
          </cell>
        </row>
        <row r="128">
          <cell r="W128">
            <v>1772251.8245899999</v>
          </cell>
        </row>
        <row r="129">
          <cell r="W129">
            <v>155708.72842</v>
          </cell>
        </row>
        <row r="130">
          <cell r="W130">
            <v>11262.15389</v>
          </cell>
        </row>
        <row r="131">
          <cell r="W131">
            <v>289305.08000999998</v>
          </cell>
        </row>
        <row r="132">
          <cell r="W132">
            <v>679568.83507000003</v>
          </cell>
        </row>
        <row r="133">
          <cell r="W133">
            <v>636407.02720000001</v>
          </cell>
        </row>
        <row r="135">
          <cell r="W135">
            <v>130751.36152000001</v>
          </cell>
        </row>
        <row r="136">
          <cell r="W136">
            <v>388562.00962999999</v>
          </cell>
        </row>
        <row r="137">
          <cell r="W137">
            <v>12724082.323230002</v>
          </cell>
        </row>
        <row r="138">
          <cell r="W138">
            <v>2495966.5059799999</v>
          </cell>
        </row>
        <row r="139">
          <cell r="W139">
            <v>15220048.829210002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-2019"/>
      <sheetName val="2007-2014"/>
    </sheetNames>
    <sheetDataSet>
      <sheetData sheetId="0">
        <row r="7">
          <cell r="T7">
            <v>119</v>
          </cell>
        </row>
        <row r="8">
          <cell r="T8">
            <v>2682003</v>
          </cell>
        </row>
        <row r="10">
          <cell r="T10">
            <v>9612</v>
          </cell>
        </row>
        <row r="11">
          <cell r="T11">
            <v>372</v>
          </cell>
        </row>
        <row r="12">
          <cell r="T12">
            <v>0</v>
          </cell>
        </row>
        <row r="15">
          <cell r="T15">
            <v>2664702</v>
          </cell>
        </row>
        <row r="16">
          <cell r="T16">
            <v>7299</v>
          </cell>
        </row>
        <row r="17">
          <cell r="T17">
            <v>18</v>
          </cell>
        </row>
        <row r="18">
          <cell r="T18">
            <v>0</v>
          </cell>
        </row>
        <row r="19">
          <cell r="T19">
            <v>0</v>
          </cell>
        </row>
        <row r="23">
          <cell r="T23">
            <v>0</v>
          </cell>
        </row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2">
          <cell r="T32">
            <v>1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70494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34686</v>
          </cell>
        </row>
        <row r="44">
          <cell r="T44">
            <v>0</v>
          </cell>
        </row>
        <row r="47">
          <cell r="T47">
            <v>50395</v>
          </cell>
        </row>
        <row r="48">
          <cell r="T48">
            <v>40592</v>
          </cell>
        </row>
        <row r="49">
          <cell r="T49">
            <v>21747</v>
          </cell>
        </row>
        <row r="50">
          <cell r="T50">
            <v>0</v>
          </cell>
        </row>
        <row r="51">
          <cell r="T51">
            <v>0</v>
          </cell>
        </row>
        <row r="57">
          <cell r="T57">
            <v>0</v>
          </cell>
        </row>
        <row r="58">
          <cell r="T58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9">
          <cell r="T69">
            <v>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632694</v>
          </cell>
        </row>
        <row r="73">
          <cell r="T73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81">
          <cell r="T81">
            <v>0</v>
          </cell>
        </row>
        <row r="82">
          <cell r="T82">
            <v>0</v>
          </cell>
        </row>
        <row r="83">
          <cell r="T83">
            <v>277058</v>
          </cell>
        </row>
        <row r="84">
          <cell r="T84">
            <v>0</v>
          </cell>
        </row>
        <row r="85">
          <cell r="T85">
            <v>0</v>
          </cell>
        </row>
        <row r="87">
          <cell r="T87">
            <v>12917</v>
          </cell>
        </row>
        <row r="88">
          <cell r="T88">
            <v>107023</v>
          </cell>
        </row>
        <row r="94">
          <cell r="T94">
            <v>2803194</v>
          </cell>
        </row>
        <row r="95">
          <cell r="T95">
            <v>534105</v>
          </cell>
        </row>
        <row r="96">
          <cell r="T96">
            <v>3337299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116</v>
          </cell>
        </row>
        <row r="105">
          <cell r="T105">
            <v>249980</v>
          </cell>
        </row>
        <row r="106">
          <cell r="T106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2532455</v>
          </cell>
        </row>
        <row r="116">
          <cell r="T116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20643</v>
          </cell>
        </row>
        <row r="126">
          <cell r="T126">
            <v>0</v>
          </cell>
        </row>
        <row r="129">
          <cell r="T129">
            <v>0</v>
          </cell>
        </row>
        <row r="130">
          <cell r="T130">
            <v>0</v>
          </cell>
        </row>
        <row r="131">
          <cell r="T131">
            <v>534105</v>
          </cell>
        </row>
        <row r="132">
          <cell r="T132">
            <v>0</v>
          </cell>
        </row>
        <row r="133">
          <cell r="T133">
            <v>0</v>
          </cell>
        </row>
        <row r="135">
          <cell r="T135">
            <v>35252</v>
          </cell>
        </row>
        <row r="136">
          <cell r="T136">
            <v>163743</v>
          </cell>
        </row>
        <row r="138">
          <cell r="T138">
            <v>393435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5"/>
      <sheetName val="2007-2019"/>
    </sheetNames>
    <sheetDataSet>
      <sheetData sheetId="0">
        <row r="7">
          <cell r="W7">
            <v>14920.86643</v>
          </cell>
        </row>
        <row r="8">
          <cell r="W8">
            <v>4540522.5865799999</v>
          </cell>
        </row>
        <row r="9">
          <cell r="W9">
            <v>41407.447929999995</v>
          </cell>
        </row>
        <row r="10">
          <cell r="W10">
            <v>41407.447929999995</v>
          </cell>
        </row>
        <row r="11">
          <cell r="W11">
            <v>0</v>
          </cell>
        </row>
        <row r="12">
          <cell r="W12">
            <v>0</v>
          </cell>
        </row>
        <row r="14">
          <cell r="W14">
            <v>4499115.1386500001</v>
          </cell>
        </row>
        <row r="15">
          <cell r="W15">
            <v>4122676.1499899998</v>
          </cell>
        </row>
        <row r="16">
          <cell r="W16">
            <v>376438.98865999997</v>
          </cell>
        </row>
        <row r="17">
          <cell r="W17">
            <v>0</v>
          </cell>
        </row>
        <row r="18">
          <cell r="W18">
            <v>0</v>
          </cell>
        </row>
        <row r="19">
          <cell r="W19">
            <v>0</v>
          </cell>
        </row>
        <row r="21">
          <cell r="W21">
            <v>173425.87</v>
          </cell>
        </row>
        <row r="22">
          <cell r="W22">
            <v>0</v>
          </cell>
        </row>
        <row r="23">
          <cell r="W23">
            <v>0</v>
          </cell>
        </row>
        <row r="24">
          <cell r="W24">
            <v>0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0</v>
          </cell>
        </row>
        <row r="29">
          <cell r="W29">
            <v>0</v>
          </cell>
        </row>
        <row r="31">
          <cell r="W31">
            <v>173425.87</v>
          </cell>
        </row>
        <row r="32">
          <cell r="W32">
            <v>0</v>
          </cell>
        </row>
        <row r="33">
          <cell r="W33">
            <v>0</v>
          </cell>
        </row>
        <row r="34">
          <cell r="W34">
            <v>11125.32</v>
          </cell>
        </row>
        <row r="35">
          <cell r="W35">
            <v>14802.977000000001</v>
          </cell>
        </row>
        <row r="36">
          <cell r="W36">
            <v>147497.573</v>
          </cell>
        </row>
        <row r="38">
          <cell r="W38">
            <v>227594.16427999997</v>
          </cell>
        </row>
        <row r="39">
          <cell r="W39">
            <v>75301.700670000006</v>
          </cell>
        </row>
        <row r="40">
          <cell r="W40">
            <v>0</v>
          </cell>
        </row>
        <row r="41">
          <cell r="W41">
            <v>0</v>
          </cell>
        </row>
        <row r="42">
          <cell r="W42">
            <v>50</v>
          </cell>
        </row>
        <row r="43">
          <cell r="W43">
            <v>75251.700670000006</v>
          </cell>
        </row>
        <row r="44">
          <cell r="W44">
            <v>0</v>
          </cell>
        </row>
        <row r="46">
          <cell r="W46">
            <v>152292.46360999998</v>
          </cell>
        </row>
        <row r="47">
          <cell r="W47">
            <v>5160.2777900000001</v>
          </cell>
        </row>
        <row r="48">
          <cell r="W48">
            <v>70092.414950000006</v>
          </cell>
        </row>
        <row r="49">
          <cell r="W49">
            <v>77039.770869999993</v>
          </cell>
        </row>
        <row r="50">
          <cell r="W50">
            <v>0</v>
          </cell>
        </row>
        <row r="51">
          <cell r="W51">
            <v>0</v>
          </cell>
        </row>
        <row r="55">
          <cell r="W55">
            <v>2231281.7751000002</v>
          </cell>
        </row>
        <row r="56">
          <cell r="W56">
            <v>740303.18270999996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3930.8822599999999</v>
          </cell>
        </row>
        <row r="60">
          <cell r="W60">
            <v>3887.6851999999999</v>
          </cell>
        </row>
        <row r="61">
          <cell r="W61">
            <v>0</v>
          </cell>
        </row>
        <row r="62">
          <cell r="W62">
            <v>43.19706</v>
          </cell>
        </row>
        <row r="63">
          <cell r="W63">
            <v>736372.30044999998</v>
          </cell>
        </row>
        <row r="64">
          <cell r="W64">
            <v>0</v>
          </cell>
        </row>
        <row r="65">
          <cell r="W65">
            <v>0</v>
          </cell>
        </row>
        <row r="66">
          <cell r="W66">
            <v>0</v>
          </cell>
        </row>
        <row r="67">
          <cell r="W67">
            <v>0</v>
          </cell>
        </row>
        <row r="68">
          <cell r="W68">
            <v>736372.30044999998</v>
          </cell>
        </row>
        <row r="69">
          <cell r="W69">
            <v>0</v>
          </cell>
        </row>
        <row r="70">
          <cell r="W70">
            <v>0</v>
          </cell>
        </row>
        <row r="71">
          <cell r="W71">
            <v>0</v>
          </cell>
        </row>
        <row r="72">
          <cell r="W72">
            <v>736372.30044999998</v>
          </cell>
        </row>
        <row r="73">
          <cell r="W73">
            <v>0</v>
          </cell>
        </row>
        <row r="74">
          <cell r="W74">
            <v>0</v>
          </cell>
        </row>
        <row r="75">
          <cell r="W75">
            <v>0</v>
          </cell>
        </row>
        <row r="76">
          <cell r="W76">
            <v>0</v>
          </cell>
        </row>
        <row r="77">
          <cell r="W77">
            <v>0</v>
          </cell>
        </row>
        <row r="78">
          <cell r="W78">
            <v>0</v>
          </cell>
        </row>
        <row r="80">
          <cell r="W80">
            <v>1490978.5923900001</v>
          </cell>
        </row>
        <row r="81">
          <cell r="W81">
            <v>0</v>
          </cell>
        </row>
        <row r="82">
          <cell r="W82">
            <v>800000</v>
          </cell>
        </row>
        <row r="83">
          <cell r="W83">
            <v>678220.27758999995</v>
          </cell>
        </row>
        <row r="84">
          <cell r="W84">
            <v>12758.3148</v>
          </cell>
        </row>
        <row r="85">
          <cell r="W85">
            <v>0</v>
          </cell>
        </row>
        <row r="87">
          <cell r="W87">
            <v>6489.4840700000004</v>
          </cell>
        </row>
        <row r="88">
          <cell r="W88">
            <v>214903.13483</v>
          </cell>
        </row>
        <row r="89">
          <cell r="W89">
            <v>7409137.8812900009</v>
          </cell>
        </row>
        <row r="94">
          <cell r="W94">
            <v>4968224.8251800006</v>
          </cell>
        </row>
        <row r="95">
          <cell r="W95">
            <v>1157050.7720300001</v>
          </cell>
        </row>
        <row r="96">
          <cell r="W96">
            <v>6125275.5972100012</v>
          </cell>
        </row>
        <row r="98">
          <cell r="W98">
            <v>509082.93329000002</v>
          </cell>
        </row>
        <row r="99">
          <cell r="W99">
            <v>0</v>
          </cell>
        </row>
        <row r="100">
          <cell r="W100">
            <v>0</v>
          </cell>
        </row>
        <row r="101">
          <cell r="W101">
            <v>62.932960000000001</v>
          </cell>
        </row>
        <row r="102">
          <cell r="W102">
            <v>0</v>
          </cell>
        </row>
        <row r="103">
          <cell r="W103">
            <v>0</v>
          </cell>
        </row>
        <row r="104">
          <cell r="W104">
            <v>0</v>
          </cell>
        </row>
        <row r="105">
          <cell r="W105">
            <v>507084.283</v>
          </cell>
        </row>
        <row r="106">
          <cell r="W106">
            <v>1935.7173299999999</v>
          </cell>
        </row>
        <row r="108">
          <cell r="W108">
            <v>4432018.7038900005</v>
          </cell>
        </row>
        <row r="109">
          <cell r="W109">
            <v>0</v>
          </cell>
        </row>
        <row r="110">
          <cell r="W110">
            <v>0</v>
          </cell>
        </row>
        <row r="111">
          <cell r="W111">
            <v>0.34899999999999998</v>
          </cell>
        </row>
        <row r="112">
          <cell r="W112">
            <v>0</v>
          </cell>
        </row>
        <row r="113">
          <cell r="W113">
            <v>0</v>
          </cell>
        </row>
        <row r="114">
          <cell r="W114">
            <v>0</v>
          </cell>
        </row>
        <row r="115">
          <cell r="W115">
            <v>4432018.2328899996</v>
          </cell>
        </row>
        <row r="116">
          <cell r="W116">
            <v>0.122</v>
          </cell>
        </row>
        <row r="118">
          <cell r="W118">
            <v>27123.187999999998</v>
          </cell>
        </row>
        <row r="119">
          <cell r="W119">
            <v>0</v>
          </cell>
        </row>
        <row r="120">
          <cell r="W120">
            <v>0</v>
          </cell>
        </row>
        <row r="121">
          <cell r="W121">
            <v>86.442999999999998</v>
          </cell>
        </row>
        <row r="122">
          <cell r="W122">
            <v>0</v>
          </cell>
        </row>
        <row r="123">
          <cell r="W123">
            <v>0</v>
          </cell>
        </row>
        <row r="124">
          <cell r="W124">
            <v>0</v>
          </cell>
        </row>
        <row r="125">
          <cell r="W125">
            <v>27036.744999999999</v>
          </cell>
        </row>
        <row r="126">
          <cell r="W126">
            <v>0</v>
          </cell>
        </row>
        <row r="128">
          <cell r="W128">
            <v>1157050.7720300001</v>
          </cell>
        </row>
        <row r="129">
          <cell r="W129">
            <v>774.62400000000002</v>
          </cell>
        </row>
        <row r="130">
          <cell r="W130">
            <v>193.25631999999999</v>
          </cell>
        </row>
        <row r="131">
          <cell r="W131">
            <v>1039488.73571</v>
          </cell>
        </row>
        <row r="132">
          <cell r="W132">
            <v>86784.213000000003</v>
          </cell>
        </row>
        <row r="133">
          <cell r="W133">
            <v>29809.942999999999</v>
          </cell>
        </row>
        <row r="135">
          <cell r="W135">
            <v>46440.979930000001</v>
          </cell>
        </row>
        <row r="136">
          <cell r="W136">
            <v>270141.77964999998</v>
          </cell>
        </row>
        <row r="137">
          <cell r="W137">
            <v>6441858.3567900006</v>
          </cell>
        </row>
        <row r="138">
          <cell r="W138">
            <v>967279.64652999991</v>
          </cell>
        </row>
        <row r="139">
          <cell r="W139">
            <v>7409138.0033200001</v>
          </cell>
        </row>
      </sheetData>
      <sheetData sheetId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5"/>
      <sheetName val="2007 - 2019"/>
    </sheetNames>
    <sheetDataSet>
      <sheetData sheetId="0">
        <row r="7">
          <cell r="X7">
            <v>75151.222670000003</v>
          </cell>
        </row>
        <row r="8">
          <cell r="X8">
            <v>3952009.5657300004</v>
          </cell>
        </row>
        <row r="9">
          <cell r="X9">
            <v>148878.57652</v>
          </cell>
        </row>
        <row r="10">
          <cell r="X10">
            <v>49075.115559999998</v>
          </cell>
        </row>
        <row r="11">
          <cell r="X11">
            <v>99055.81</v>
          </cell>
        </row>
        <row r="12">
          <cell r="X12">
            <v>747.65096000000005</v>
          </cell>
        </row>
        <row r="14">
          <cell r="X14">
            <v>3803130.9892100003</v>
          </cell>
        </row>
        <row r="15">
          <cell r="X15">
            <v>2696052.1026699999</v>
          </cell>
        </row>
        <row r="16">
          <cell r="X16">
            <v>1091593.4715400001</v>
          </cell>
        </row>
        <row r="17">
          <cell r="X17">
            <v>15485.415000000001</v>
          </cell>
        </row>
        <row r="18">
          <cell r="X18">
            <v>0</v>
          </cell>
        </row>
        <row r="19">
          <cell r="X19">
            <v>0</v>
          </cell>
        </row>
        <row r="21">
          <cell r="X21">
            <v>4915330.4589</v>
          </cell>
        </row>
        <row r="22">
          <cell r="X22">
            <v>73484.766000000003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73484.766000000003</v>
          </cell>
        </row>
        <row r="29">
          <cell r="X29">
            <v>0</v>
          </cell>
        </row>
        <row r="31">
          <cell r="X31">
            <v>4841845.6929000001</v>
          </cell>
        </row>
        <row r="32">
          <cell r="X32">
            <v>120756.95699999999</v>
          </cell>
        </row>
        <row r="33">
          <cell r="X33">
            <v>40444.84274</v>
          </cell>
        </row>
        <row r="34">
          <cell r="X34">
            <v>365309.91480999999</v>
          </cell>
        </row>
        <row r="35">
          <cell r="X35">
            <v>216919.59080000001</v>
          </cell>
        </row>
        <row r="36">
          <cell r="X36">
            <v>4098414.3875500001</v>
          </cell>
        </row>
        <row r="38">
          <cell r="X38">
            <v>86273.131430000009</v>
          </cell>
        </row>
        <row r="39">
          <cell r="X39">
            <v>8650.1344300000001</v>
          </cell>
        </row>
        <row r="40">
          <cell r="X40">
            <v>100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8550.1344300000001</v>
          </cell>
        </row>
        <row r="44">
          <cell r="X44">
            <v>0</v>
          </cell>
        </row>
        <row r="46">
          <cell r="X46">
            <v>77622.997000000003</v>
          </cell>
        </row>
        <row r="47">
          <cell r="X47">
            <v>77622.997000000003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5">
          <cell r="X55">
            <v>5939026.9334899997</v>
          </cell>
        </row>
        <row r="56">
          <cell r="X56">
            <v>5182331.4268199997</v>
          </cell>
        </row>
        <row r="57">
          <cell r="X57">
            <v>421592.90057</v>
          </cell>
        </row>
        <row r="58">
          <cell r="X58">
            <v>18919.852149999999</v>
          </cell>
        </row>
        <row r="59">
          <cell r="X59">
            <v>1570921.4344899999</v>
          </cell>
        </row>
        <row r="60">
          <cell r="X60">
            <v>391888.61875000002</v>
          </cell>
        </row>
        <row r="61">
          <cell r="X61">
            <v>191747.52669999999</v>
          </cell>
        </row>
        <row r="62">
          <cell r="X62">
            <v>987285.28903999995</v>
          </cell>
        </row>
        <row r="63">
          <cell r="X63">
            <v>13403.99353</v>
          </cell>
        </row>
        <row r="64">
          <cell r="X64">
            <v>62.382550000000002</v>
          </cell>
        </row>
        <row r="65">
          <cell r="X65">
            <v>0</v>
          </cell>
        </row>
        <row r="66">
          <cell r="X66">
            <v>33.165550000000003</v>
          </cell>
        </row>
        <row r="67">
          <cell r="X67">
            <v>29.216999999999999</v>
          </cell>
        </row>
        <row r="68">
          <cell r="X68">
            <v>13341.610979999999</v>
          </cell>
        </row>
        <row r="69">
          <cell r="X69">
            <v>991.45317</v>
          </cell>
        </row>
        <row r="70">
          <cell r="X70">
            <v>-6.9919999999999996E-2</v>
          </cell>
        </row>
        <row r="71">
          <cell r="X71">
            <v>0.43669000000000002</v>
          </cell>
        </row>
        <row r="72">
          <cell r="X72">
            <v>12349.79104</v>
          </cell>
        </row>
        <row r="73">
          <cell r="X73">
            <v>0</v>
          </cell>
        </row>
        <row r="74">
          <cell r="X74">
            <v>3157493.24608</v>
          </cell>
        </row>
        <row r="75">
          <cell r="X75">
            <v>2760467.2628799998</v>
          </cell>
        </row>
        <row r="76">
          <cell r="X76">
            <v>90318.13248</v>
          </cell>
        </row>
        <row r="77">
          <cell r="X77">
            <v>3040.1652399999998</v>
          </cell>
        </row>
        <row r="78">
          <cell r="X78">
            <v>303667.68547999999</v>
          </cell>
        </row>
        <row r="80">
          <cell r="X80">
            <v>756695.50667000003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41257.046289999998</v>
          </cell>
        </row>
        <row r="84">
          <cell r="X84">
            <v>420569.01016000001</v>
          </cell>
        </row>
        <row r="85">
          <cell r="X85">
            <v>294869.45022</v>
          </cell>
        </row>
        <row r="87">
          <cell r="X87">
            <v>193648.07884</v>
          </cell>
        </row>
        <row r="88">
          <cell r="X88">
            <v>130283.92598</v>
          </cell>
        </row>
        <row r="89">
          <cell r="X89">
            <v>15291723.31704</v>
          </cell>
        </row>
        <row r="94">
          <cell r="X94">
            <v>10636425.552000001</v>
          </cell>
        </row>
        <row r="95">
          <cell r="X95">
            <v>1762040.2572699999</v>
          </cell>
        </row>
        <row r="96">
          <cell r="X96">
            <v>12398465.809270002</v>
          </cell>
        </row>
        <row r="98">
          <cell r="X98">
            <v>3873875.0973800002</v>
          </cell>
        </row>
        <row r="99">
          <cell r="X99">
            <v>7556.9544100000003</v>
          </cell>
        </row>
        <row r="100">
          <cell r="X100">
            <v>158569.09810999999</v>
          </cell>
        </row>
        <row r="101">
          <cell r="X101">
            <v>1452237.7319700001</v>
          </cell>
        </row>
        <row r="102">
          <cell r="X102">
            <v>40.458840000000002</v>
          </cell>
        </row>
        <row r="103">
          <cell r="X103">
            <v>43266.489480000004</v>
          </cell>
        </row>
        <row r="104">
          <cell r="X104">
            <v>32994.81</v>
          </cell>
        </row>
        <row r="105">
          <cell r="X105">
            <v>1667667.42246</v>
          </cell>
        </row>
        <row r="106">
          <cell r="X106">
            <v>511542.13211000001</v>
          </cell>
        </row>
        <row r="108">
          <cell r="X108">
            <v>3313861.8489999999</v>
          </cell>
        </row>
        <row r="109">
          <cell r="X109">
            <v>1050.2909199999999</v>
          </cell>
        </row>
        <row r="110">
          <cell r="X110">
            <v>21139.176790000001</v>
          </cell>
        </row>
        <row r="111">
          <cell r="X111">
            <v>851879.28544000001</v>
          </cell>
        </row>
        <row r="112">
          <cell r="X112">
            <v>12442.563410000001</v>
          </cell>
        </row>
        <row r="113">
          <cell r="X113">
            <v>8340.3094199999996</v>
          </cell>
        </row>
        <row r="114">
          <cell r="X114">
            <v>3921.8083299999998</v>
          </cell>
        </row>
        <row r="115">
          <cell r="X115">
            <v>939068.84705999994</v>
          </cell>
        </row>
        <row r="116">
          <cell r="X116">
            <v>1476019.5676299999</v>
          </cell>
        </row>
        <row r="118">
          <cell r="X118">
            <v>3448688.60562</v>
          </cell>
        </row>
        <row r="119">
          <cell r="X119">
            <v>600910.52307999996</v>
          </cell>
        </row>
        <row r="120">
          <cell r="X120">
            <v>255753.69844000001</v>
          </cell>
        </row>
        <row r="121">
          <cell r="X121">
            <v>977866.05532000004</v>
          </cell>
        </row>
        <row r="122">
          <cell r="X122">
            <v>11178.275</v>
          </cell>
        </row>
        <row r="123">
          <cell r="X123">
            <v>109337.47639</v>
          </cell>
        </row>
        <row r="124">
          <cell r="X124">
            <v>56513.654139999999</v>
          </cell>
        </row>
        <row r="125">
          <cell r="X125">
            <v>601162.27194000001</v>
          </cell>
        </row>
        <row r="126">
          <cell r="X126">
            <v>835966.65130999999</v>
          </cell>
        </row>
        <row r="128">
          <cell r="X128">
            <v>1762040.2572699999</v>
          </cell>
        </row>
        <row r="129">
          <cell r="X129">
            <v>231724.32676</v>
          </cell>
        </row>
        <row r="130">
          <cell r="X130">
            <v>11341.68605</v>
          </cell>
        </row>
        <row r="131">
          <cell r="X131">
            <v>229858.09927000001</v>
          </cell>
        </row>
        <row r="132">
          <cell r="X132">
            <v>661496.52634999994</v>
          </cell>
        </row>
        <row r="133">
          <cell r="X133">
            <v>627619.61884000001</v>
          </cell>
        </row>
        <row r="135">
          <cell r="X135">
            <v>3782.9465799999998</v>
          </cell>
        </row>
        <row r="136">
          <cell r="X136">
            <v>432899.59684999997</v>
          </cell>
        </row>
        <row r="137">
          <cell r="X137">
            <v>12835148.352699999</v>
          </cell>
        </row>
        <row r="138">
          <cell r="X138">
            <v>2456574.9713400002</v>
          </cell>
        </row>
        <row r="139">
          <cell r="X139">
            <v>15291723.324039999</v>
          </cell>
        </row>
      </sheetData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5"/>
      <sheetName val="2007-2019"/>
    </sheetNames>
    <sheetDataSet>
      <sheetData sheetId="0">
        <row r="7">
          <cell r="X7">
            <v>1271.2604799999999</v>
          </cell>
        </row>
        <row r="8">
          <cell r="X8">
            <v>4850420.4528200002</v>
          </cell>
        </row>
        <row r="9">
          <cell r="X9">
            <v>39715.468419999997</v>
          </cell>
        </row>
        <row r="10">
          <cell r="X10">
            <v>39715.468419999997</v>
          </cell>
        </row>
        <row r="11">
          <cell r="X11">
            <v>0</v>
          </cell>
        </row>
        <row r="12">
          <cell r="X12">
            <v>0</v>
          </cell>
        </row>
        <row r="14">
          <cell r="X14">
            <v>4810704.9844000004</v>
          </cell>
        </row>
        <row r="15">
          <cell r="X15">
            <v>4255466.2004000004</v>
          </cell>
        </row>
        <row r="16">
          <cell r="X16">
            <v>515112.44799999997</v>
          </cell>
        </row>
        <row r="17">
          <cell r="X17">
            <v>40126.336000000003</v>
          </cell>
        </row>
        <row r="18">
          <cell r="X18">
            <v>0</v>
          </cell>
        </row>
        <row r="19">
          <cell r="X19">
            <v>0</v>
          </cell>
        </row>
        <row r="21">
          <cell r="X21">
            <v>188050.25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1">
          <cell r="X31">
            <v>188050.25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8461.3430000000008</v>
          </cell>
        </row>
        <row r="35">
          <cell r="X35">
            <v>14760.965</v>
          </cell>
        </row>
        <row r="36">
          <cell r="X36">
            <v>164827.94200000001</v>
          </cell>
        </row>
        <row r="38">
          <cell r="X38">
            <v>397096.78300000005</v>
          </cell>
        </row>
        <row r="39">
          <cell r="X39">
            <v>34243.432999999997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50</v>
          </cell>
        </row>
        <row r="43">
          <cell r="X43">
            <v>34193.432999999997</v>
          </cell>
        </row>
        <row r="44">
          <cell r="X44">
            <v>0</v>
          </cell>
        </row>
        <row r="46">
          <cell r="X46">
            <v>362853.35000000003</v>
          </cell>
        </row>
        <row r="47">
          <cell r="X47">
            <v>29014.118999999999</v>
          </cell>
        </row>
        <row r="48">
          <cell r="X48">
            <v>270337.65700000001</v>
          </cell>
        </row>
        <row r="49">
          <cell r="X49">
            <v>63501.574000000001</v>
          </cell>
        </row>
        <row r="50">
          <cell r="X50">
            <v>0</v>
          </cell>
        </row>
        <row r="51">
          <cell r="X51">
            <v>0</v>
          </cell>
        </row>
        <row r="55">
          <cell r="X55">
            <v>2274527.4588799998</v>
          </cell>
        </row>
        <row r="56">
          <cell r="X56">
            <v>812664.00488000002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3949.5279999999998</v>
          </cell>
        </row>
        <row r="60">
          <cell r="X60">
            <v>3949.5279999999998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808714.47687999997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808714.47687999997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208.60563999999999</v>
          </cell>
        </row>
        <row r="72">
          <cell r="X72">
            <v>808505.87124000001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80">
          <cell r="X80">
            <v>1461863.4539999999</v>
          </cell>
        </row>
        <row r="81">
          <cell r="X81">
            <v>5513.17</v>
          </cell>
        </row>
        <row r="82">
          <cell r="X82">
            <v>800000</v>
          </cell>
        </row>
        <row r="83">
          <cell r="X83">
            <v>649126.98300000001</v>
          </cell>
        </row>
        <row r="84">
          <cell r="X84">
            <v>7223.3010000000004</v>
          </cell>
        </row>
        <row r="85">
          <cell r="X85">
            <v>0</v>
          </cell>
        </row>
        <row r="87">
          <cell r="X87">
            <v>7815.6170000000002</v>
          </cell>
        </row>
        <row r="88">
          <cell r="X88">
            <v>215254.17899999997</v>
          </cell>
        </row>
        <row r="89">
          <cell r="X89">
            <v>7934436.0011799987</v>
          </cell>
        </row>
        <row r="94">
          <cell r="X94">
            <v>5000359.1965999994</v>
          </cell>
        </row>
        <row r="95">
          <cell r="X95">
            <v>1294321.94</v>
          </cell>
        </row>
        <row r="96">
          <cell r="X96">
            <v>6294681.1365999989</v>
          </cell>
        </row>
        <row r="98">
          <cell r="X98">
            <v>145690.91400000002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13.151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143633.989</v>
          </cell>
        </row>
        <row r="106">
          <cell r="X106">
            <v>2043.7739999999999</v>
          </cell>
        </row>
        <row r="108">
          <cell r="X108">
            <v>4829814.0015999991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7.6999999999999999E-2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4829813.9245999996</v>
          </cell>
        </row>
        <row r="116">
          <cell r="X116">
            <v>0</v>
          </cell>
        </row>
        <row r="118">
          <cell r="X118">
            <v>24854.280999999999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24854.280999999999</v>
          </cell>
        </row>
        <row r="126">
          <cell r="X126">
            <v>0</v>
          </cell>
        </row>
        <row r="128">
          <cell r="X128">
            <v>1294321.94</v>
          </cell>
        </row>
        <row r="129">
          <cell r="X129">
            <v>10372.258</v>
          </cell>
        </row>
        <row r="130">
          <cell r="X130">
            <v>1587.8</v>
          </cell>
        </row>
        <row r="131">
          <cell r="X131">
            <v>1182808.2009999999</v>
          </cell>
        </row>
        <row r="132">
          <cell r="X132">
            <v>65128.661999999997</v>
          </cell>
        </row>
        <row r="133">
          <cell r="X133">
            <v>34425.019</v>
          </cell>
        </row>
        <row r="135">
          <cell r="X135">
            <v>201285.21403999999</v>
          </cell>
        </row>
        <row r="136">
          <cell r="X136">
            <v>442252.73699</v>
          </cell>
        </row>
        <row r="137">
          <cell r="X137">
            <v>6938219.087629999</v>
          </cell>
        </row>
        <row r="138">
          <cell r="X138">
            <v>996216.91193000006</v>
          </cell>
        </row>
        <row r="139">
          <cell r="X139">
            <v>7934435.9995599994</v>
          </cell>
        </row>
      </sheetData>
      <sheetData sheetId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5"/>
      <sheetName val="2007 - 2019"/>
    </sheetNames>
    <sheetDataSet>
      <sheetData sheetId="0">
        <row r="7">
          <cell r="Y7">
            <v>72930.149260000006</v>
          </cell>
        </row>
        <row r="8">
          <cell r="Y8">
            <v>3131007.4377000001</v>
          </cell>
        </row>
        <row r="9">
          <cell r="Y9">
            <v>166403.74810999999</v>
          </cell>
        </row>
        <row r="10">
          <cell r="Y10">
            <v>60869.708100000003</v>
          </cell>
        </row>
        <row r="11">
          <cell r="Y11">
            <v>103069.5</v>
          </cell>
        </row>
        <row r="12">
          <cell r="Y12">
            <v>2464.5400100000002</v>
          </cell>
        </row>
        <row r="14">
          <cell r="Y14">
            <v>2964603.6895900001</v>
          </cell>
        </row>
        <row r="15">
          <cell r="Y15">
            <v>2013019.7717200001</v>
          </cell>
        </row>
        <row r="16">
          <cell r="Y16">
            <v>932626.81087000004</v>
          </cell>
        </row>
        <row r="17">
          <cell r="Y17">
            <v>18957.107</v>
          </cell>
        </row>
        <row r="18">
          <cell r="Y18">
            <v>0</v>
          </cell>
        </row>
        <row r="19">
          <cell r="Y19">
            <v>0</v>
          </cell>
        </row>
        <row r="21">
          <cell r="Y21">
            <v>4804496.6047200002</v>
          </cell>
        </row>
        <row r="22">
          <cell r="Y22">
            <v>73484.766000000003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73484.766000000003</v>
          </cell>
        </row>
        <row r="29">
          <cell r="Y29">
            <v>0</v>
          </cell>
        </row>
        <row r="31">
          <cell r="Y31">
            <v>4731011.8387200003</v>
          </cell>
        </row>
        <row r="32">
          <cell r="Y32">
            <v>125963.959</v>
          </cell>
        </row>
        <row r="33">
          <cell r="Y33">
            <v>73472.295859999998</v>
          </cell>
        </row>
        <row r="34">
          <cell r="Y34">
            <v>322726.95918000001</v>
          </cell>
        </row>
        <row r="35">
          <cell r="Y35">
            <v>211388.29547000001</v>
          </cell>
        </row>
        <row r="36">
          <cell r="Y36">
            <v>3997460.3292100001</v>
          </cell>
        </row>
        <row r="38">
          <cell r="Y38">
            <v>86273.132429999998</v>
          </cell>
        </row>
        <row r="39">
          <cell r="Y39">
            <v>8650.1354300000003</v>
          </cell>
        </row>
        <row r="40">
          <cell r="Y40">
            <v>100</v>
          </cell>
        </row>
        <row r="41">
          <cell r="Y41">
            <v>0</v>
          </cell>
        </row>
        <row r="42">
          <cell r="Y42">
            <v>0</v>
          </cell>
        </row>
        <row r="43">
          <cell r="Y43">
            <v>8550.1354300000003</v>
          </cell>
        </row>
        <row r="44">
          <cell r="Y44">
            <v>0</v>
          </cell>
        </row>
        <row r="46">
          <cell r="Y46">
            <v>77622.997000000003</v>
          </cell>
        </row>
        <row r="47">
          <cell r="Y47">
            <v>77622.997000000003</v>
          </cell>
        </row>
        <row r="48">
          <cell r="Y48">
            <v>0</v>
          </cell>
        </row>
        <row r="49">
          <cell r="Y49">
            <v>0</v>
          </cell>
        </row>
        <row r="50">
          <cell r="Y50">
            <v>0</v>
          </cell>
        </row>
        <row r="51">
          <cell r="Y51">
            <v>0</v>
          </cell>
        </row>
        <row r="55">
          <cell r="Y55">
            <v>6163649.4341899995</v>
          </cell>
        </row>
        <row r="56">
          <cell r="Y56">
            <v>5410431.1539399996</v>
          </cell>
        </row>
        <row r="57">
          <cell r="Y57">
            <v>585970.04958999995</v>
          </cell>
        </row>
        <row r="58">
          <cell r="Y58">
            <v>17682.903109999999</v>
          </cell>
        </row>
        <row r="59">
          <cell r="Y59">
            <v>1590826.7979600001</v>
          </cell>
        </row>
        <row r="60">
          <cell r="Y60">
            <v>452404.85706000001</v>
          </cell>
        </row>
        <row r="61">
          <cell r="Y61">
            <v>143610.21335999999</v>
          </cell>
        </row>
        <row r="62">
          <cell r="Y62">
            <v>994811.72753999999</v>
          </cell>
        </row>
        <row r="63">
          <cell r="Y63">
            <v>19279.795889999998</v>
          </cell>
        </row>
        <row r="64">
          <cell r="Y64">
            <v>413.48275999999998</v>
          </cell>
        </row>
        <row r="65">
          <cell r="Y65">
            <v>0</v>
          </cell>
        </row>
        <row r="66">
          <cell r="Y66">
            <v>8.4507600000000007</v>
          </cell>
        </row>
        <row r="67">
          <cell r="Y67">
            <v>405.03199999999998</v>
          </cell>
        </row>
        <row r="68">
          <cell r="Y68">
            <v>18866.313129999999</v>
          </cell>
        </row>
        <row r="69">
          <cell r="Y69">
            <v>951.77133000000003</v>
          </cell>
        </row>
        <row r="70">
          <cell r="Y70">
            <v>0.54215999999999998</v>
          </cell>
        </row>
        <row r="71">
          <cell r="Y71">
            <v>0.65237999999999996</v>
          </cell>
        </row>
        <row r="72">
          <cell r="Y72">
            <v>17913.347259999999</v>
          </cell>
        </row>
        <row r="73">
          <cell r="Y73">
            <v>0</v>
          </cell>
        </row>
        <row r="74">
          <cell r="Y74">
            <v>3196671.60739</v>
          </cell>
        </row>
        <row r="75">
          <cell r="Y75">
            <v>2792440.7718000002</v>
          </cell>
        </row>
        <row r="76">
          <cell r="Y76">
            <v>92549.037779999999</v>
          </cell>
        </row>
        <row r="77">
          <cell r="Y77">
            <v>2932.6778100000001</v>
          </cell>
        </row>
        <row r="78">
          <cell r="Y78">
            <v>308749.12</v>
          </cell>
        </row>
        <row r="80">
          <cell r="Y80">
            <v>753218.28025000007</v>
          </cell>
        </row>
        <row r="81">
          <cell r="Y81">
            <v>0</v>
          </cell>
        </row>
        <row r="82">
          <cell r="Y82">
            <v>0</v>
          </cell>
        </row>
        <row r="83">
          <cell r="Y83">
            <v>33138.034460000003</v>
          </cell>
        </row>
        <row r="84">
          <cell r="Y84">
            <v>421071.73028000002</v>
          </cell>
        </row>
        <row r="85">
          <cell r="Y85">
            <v>299008.51551</v>
          </cell>
        </row>
        <row r="87">
          <cell r="Y87">
            <v>189192.19941999999</v>
          </cell>
        </row>
        <row r="88">
          <cell r="Y88">
            <v>126677.00992000001</v>
          </cell>
        </row>
        <row r="89">
          <cell r="Y89">
            <v>14574225.967639998</v>
          </cell>
        </row>
        <row r="94">
          <cell r="Y94">
            <v>10231346.686699999</v>
          </cell>
        </row>
        <row r="95">
          <cell r="Y95">
            <v>1702856.3565500001</v>
          </cell>
        </row>
        <row r="96">
          <cell r="Y96">
            <v>11934203.04325</v>
          </cell>
        </row>
        <row r="98">
          <cell r="Y98">
            <v>3624852.7256700001</v>
          </cell>
        </row>
        <row r="99">
          <cell r="Y99">
            <v>14176.47027</v>
          </cell>
        </row>
        <row r="100">
          <cell r="Y100">
            <v>161197.90463</v>
          </cell>
        </row>
        <row r="101">
          <cell r="Y101">
            <v>1453845.0867699999</v>
          </cell>
        </row>
        <row r="102">
          <cell r="Y102">
            <v>30.211369999999999</v>
          </cell>
        </row>
        <row r="103">
          <cell r="Y103">
            <v>48043.624979999993</v>
          </cell>
        </row>
        <row r="104">
          <cell r="Y104">
            <v>35447.621859999999</v>
          </cell>
        </row>
        <row r="105">
          <cell r="Y105">
            <v>1414676.02991</v>
          </cell>
        </row>
        <row r="106">
          <cell r="Y106">
            <v>497435.77587999997</v>
          </cell>
        </row>
        <row r="108">
          <cell r="Y108">
            <v>3247582.3128499999</v>
          </cell>
        </row>
        <row r="109">
          <cell r="Y109">
            <v>1751.4282900000001</v>
          </cell>
        </row>
        <row r="110">
          <cell r="Y110">
            <v>24973.52032</v>
          </cell>
        </row>
        <row r="111">
          <cell r="Y111">
            <v>860096.92038999998</v>
          </cell>
        </row>
        <row r="112">
          <cell r="Y112">
            <v>10960.156269999999</v>
          </cell>
        </row>
        <row r="113">
          <cell r="Y113">
            <v>9819.7746399999996</v>
          </cell>
        </row>
        <row r="114">
          <cell r="Y114">
            <v>2200.9074000000001</v>
          </cell>
        </row>
        <row r="115">
          <cell r="Y115">
            <v>931099.65763999999</v>
          </cell>
        </row>
        <row r="116">
          <cell r="Y116">
            <v>1406679.9479</v>
          </cell>
        </row>
        <row r="118">
          <cell r="Y118">
            <v>3358911.64818</v>
          </cell>
        </row>
        <row r="119">
          <cell r="Y119">
            <v>613509.67489999998</v>
          </cell>
        </row>
        <row r="120">
          <cell r="Y120">
            <v>255112.33196000001</v>
          </cell>
        </row>
        <row r="121">
          <cell r="Y121">
            <v>954924.44457000005</v>
          </cell>
        </row>
        <row r="122">
          <cell r="Y122">
            <v>9264.9850000000006</v>
          </cell>
        </row>
        <row r="123">
          <cell r="Y123">
            <v>117754.92715999999</v>
          </cell>
        </row>
        <row r="124">
          <cell r="Y124">
            <v>56083.056219999999</v>
          </cell>
        </row>
        <row r="125">
          <cell r="Y125">
            <v>541381.09553000005</v>
          </cell>
        </row>
        <row r="126">
          <cell r="Y126">
            <v>810881.13283999998</v>
          </cell>
        </row>
        <row r="128">
          <cell r="Y128">
            <v>1702856.3565500001</v>
          </cell>
        </row>
        <row r="129">
          <cell r="Y129">
            <v>230205.93802999999</v>
          </cell>
        </row>
        <row r="130">
          <cell r="Y130">
            <v>9929.8190200000008</v>
          </cell>
        </row>
        <row r="131">
          <cell r="Y131">
            <v>201465.48238</v>
          </cell>
        </row>
        <row r="132">
          <cell r="Y132">
            <v>637699.71588000003</v>
          </cell>
        </row>
        <row r="133">
          <cell r="Y133">
            <v>623555.40124000004</v>
          </cell>
        </row>
        <row r="135">
          <cell r="Y135">
            <v>79381.97537</v>
          </cell>
        </row>
        <row r="136">
          <cell r="Y136">
            <v>438469.07568999997</v>
          </cell>
        </row>
        <row r="137">
          <cell r="Y137">
            <v>12452054.094310001</v>
          </cell>
        </row>
        <row r="138">
          <cell r="Y138">
            <v>2122171.8769</v>
          </cell>
        </row>
        <row r="139">
          <cell r="Y139">
            <v>14574225.971210001</v>
          </cell>
        </row>
      </sheetData>
      <sheetData sheetId="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-2025"/>
      <sheetName val="2007-2019"/>
    </sheetNames>
    <sheetDataSet>
      <sheetData sheetId="0">
        <row r="7">
          <cell r="Y7">
            <v>964.39823000000001</v>
          </cell>
        </row>
        <row r="8">
          <cell r="Y8">
            <v>4439487.7201799992</v>
          </cell>
        </row>
        <row r="9">
          <cell r="Y9">
            <v>42319.836230000001</v>
          </cell>
        </row>
        <row r="10">
          <cell r="Y10">
            <v>13235.13076</v>
          </cell>
        </row>
        <row r="11">
          <cell r="Y11">
            <v>28973.398000000001</v>
          </cell>
        </row>
        <row r="12">
          <cell r="Y12">
            <v>111.30747</v>
          </cell>
        </row>
        <row r="14">
          <cell r="Y14">
            <v>4397167.8839499997</v>
          </cell>
        </row>
        <row r="15">
          <cell r="Y15">
            <v>3722106.9002399999</v>
          </cell>
        </row>
        <row r="16">
          <cell r="Y16">
            <v>659316.66770999995</v>
          </cell>
        </row>
        <row r="17">
          <cell r="Y17">
            <v>15744.316000000001</v>
          </cell>
        </row>
        <row r="18">
          <cell r="Y18">
            <v>0</v>
          </cell>
        </row>
        <row r="19">
          <cell r="Y19">
            <v>0</v>
          </cell>
        </row>
        <row r="21">
          <cell r="Y21">
            <v>179246.666</v>
          </cell>
        </row>
        <row r="22">
          <cell r="Y22">
            <v>0</v>
          </cell>
        </row>
        <row r="23">
          <cell r="Y23">
            <v>0</v>
          </cell>
        </row>
        <row r="24">
          <cell r="Y24">
            <v>0</v>
          </cell>
        </row>
        <row r="25">
          <cell r="Y25">
            <v>0</v>
          </cell>
        </row>
        <row r="26">
          <cell r="Y26">
            <v>0</v>
          </cell>
        </row>
        <row r="27">
          <cell r="Y27">
            <v>0</v>
          </cell>
        </row>
        <row r="28">
          <cell r="Y28">
            <v>0</v>
          </cell>
        </row>
        <row r="29">
          <cell r="Y29">
            <v>0</v>
          </cell>
        </row>
        <row r="31">
          <cell r="Y31">
            <v>179246.666</v>
          </cell>
        </row>
        <row r="32">
          <cell r="Y32">
            <v>0</v>
          </cell>
        </row>
        <row r="33">
          <cell r="Y33">
            <v>0</v>
          </cell>
        </row>
        <row r="34">
          <cell r="Y34">
            <v>8542.1759999999995</v>
          </cell>
        </row>
        <row r="35">
          <cell r="Y35">
            <v>20821.010999999999</v>
          </cell>
        </row>
        <row r="36">
          <cell r="Y36">
            <v>149883.47899999999</v>
          </cell>
        </row>
        <row r="38">
          <cell r="Y38">
            <v>153701.25802000001</v>
          </cell>
        </row>
        <row r="39">
          <cell r="Y39">
            <v>50468.394520000002</v>
          </cell>
        </row>
        <row r="40">
          <cell r="Y40">
            <v>0</v>
          </cell>
        </row>
        <row r="41">
          <cell r="Y41">
            <v>0</v>
          </cell>
        </row>
        <row r="42">
          <cell r="Y42">
            <v>50</v>
          </cell>
        </row>
        <row r="43">
          <cell r="Y43">
            <v>50418.394520000002</v>
          </cell>
        </row>
        <row r="44">
          <cell r="Y44">
            <v>0</v>
          </cell>
        </row>
        <row r="46">
          <cell r="Y46">
            <v>103232.86350000001</v>
          </cell>
        </row>
        <row r="47">
          <cell r="Y47">
            <v>20638.09405</v>
          </cell>
        </row>
        <row r="48">
          <cell r="Y48">
            <v>46941.482259999997</v>
          </cell>
        </row>
        <row r="49">
          <cell r="Y49">
            <v>35653.287190000003</v>
          </cell>
        </row>
        <row r="50">
          <cell r="Y50">
            <v>0</v>
          </cell>
        </row>
        <row r="51">
          <cell r="Y51">
            <v>0</v>
          </cell>
        </row>
        <row r="55">
          <cell r="Y55">
            <v>2634758.9078500001</v>
          </cell>
        </row>
        <row r="56">
          <cell r="Y56">
            <v>782108.44819999998</v>
          </cell>
        </row>
        <row r="57">
          <cell r="Y57">
            <v>0</v>
          </cell>
        </row>
        <row r="58">
          <cell r="Y58">
            <v>0</v>
          </cell>
        </row>
        <row r="59">
          <cell r="Y59">
            <v>4103.7579999999998</v>
          </cell>
        </row>
        <row r="60">
          <cell r="Y60">
            <v>4103.7579999999998</v>
          </cell>
        </row>
        <row r="61">
          <cell r="Y61">
            <v>0</v>
          </cell>
        </row>
        <row r="62">
          <cell r="Y62">
            <v>0</v>
          </cell>
        </row>
        <row r="63">
          <cell r="Y63">
            <v>778004.69019999995</v>
          </cell>
        </row>
        <row r="64">
          <cell r="Y64">
            <v>0</v>
          </cell>
        </row>
        <row r="65">
          <cell r="Y65">
            <v>0</v>
          </cell>
        </row>
        <row r="66">
          <cell r="Y66">
            <v>0</v>
          </cell>
        </row>
        <row r="67">
          <cell r="Y67">
            <v>0</v>
          </cell>
        </row>
        <row r="68">
          <cell r="Y68">
            <v>778004.69019999995</v>
          </cell>
        </row>
        <row r="69">
          <cell r="Y69">
            <v>0</v>
          </cell>
        </row>
        <row r="70">
          <cell r="Y70">
            <v>0</v>
          </cell>
        </row>
        <row r="71">
          <cell r="Y71">
            <v>0</v>
          </cell>
        </row>
        <row r="72">
          <cell r="Y72">
            <v>778004.69019999995</v>
          </cell>
        </row>
        <row r="73">
          <cell r="Y73">
            <v>0</v>
          </cell>
        </row>
        <row r="74">
          <cell r="Y74">
            <v>0</v>
          </cell>
        </row>
        <row r="75">
          <cell r="Y75">
            <v>0</v>
          </cell>
        </row>
        <row r="76">
          <cell r="Y76">
            <v>0</v>
          </cell>
        </row>
        <row r="77">
          <cell r="Y77">
            <v>0</v>
          </cell>
        </row>
        <row r="78">
          <cell r="Y78">
            <v>0</v>
          </cell>
        </row>
        <row r="80">
          <cell r="Y80">
            <v>1852650.4596500001</v>
          </cell>
        </row>
        <row r="81">
          <cell r="Y81">
            <v>5314.7120000000004</v>
          </cell>
        </row>
        <row r="82">
          <cell r="Y82">
            <v>1050000</v>
          </cell>
        </row>
        <row r="83">
          <cell r="Y83">
            <v>796240.21765000001</v>
          </cell>
        </row>
        <row r="84">
          <cell r="Y84">
            <v>1095.53</v>
          </cell>
        </row>
        <row r="85">
          <cell r="Y85">
            <v>0</v>
          </cell>
        </row>
        <row r="87">
          <cell r="Y87">
            <v>8447.2620700000007</v>
          </cell>
        </row>
        <row r="88">
          <cell r="Y88">
            <v>210737.71421000001</v>
          </cell>
        </row>
        <row r="89">
          <cell r="Y89">
            <v>7627343.9265599996</v>
          </cell>
        </row>
        <row r="94">
          <cell r="Y94">
            <v>4343738.6448499998</v>
          </cell>
        </row>
        <row r="95">
          <cell r="Y95">
            <v>2000887.9551500001</v>
          </cell>
        </row>
        <row r="96">
          <cell r="Y96">
            <v>6344626.5999999996</v>
          </cell>
        </row>
        <row r="98">
          <cell r="Y98">
            <v>113644.54552</v>
          </cell>
        </row>
        <row r="99">
          <cell r="Y99">
            <v>0</v>
          </cell>
        </row>
        <row r="100">
          <cell r="Y100">
            <v>0</v>
          </cell>
        </row>
        <row r="101">
          <cell r="Y101">
            <v>16.088100000000001</v>
          </cell>
        </row>
        <row r="102">
          <cell r="Y102">
            <v>0</v>
          </cell>
        </row>
        <row r="103">
          <cell r="Y103">
            <v>579.94000000000005</v>
          </cell>
        </row>
        <row r="104">
          <cell r="Y104">
            <v>0</v>
          </cell>
        </row>
        <row r="105">
          <cell r="Y105">
            <v>110046.577</v>
          </cell>
        </row>
        <row r="106">
          <cell r="Y106">
            <v>3001.9404199999999</v>
          </cell>
        </row>
        <row r="108">
          <cell r="Y108">
            <v>4199932.3293300001</v>
          </cell>
        </row>
        <row r="109">
          <cell r="Y109">
            <v>0</v>
          </cell>
        </row>
        <row r="110">
          <cell r="Y110">
            <v>0</v>
          </cell>
        </row>
        <row r="111">
          <cell r="Y111">
            <v>289.38299999999998</v>
          </cell>
        </row>
        <row r="112">
          <cell r="Y112">
            <v>0</v>
          </cell>
        </row>
        <row r="113">
          <cell r="Y113">
            <v>0</v>
          </cell>
        </row>
        <row r="114">
          <cell r="Y114">
            <v>0</v>
          </cell>
        </row>
        <row r="115">
          <cell r="Y115">
            <v>4199642.52733</v>
          </cell>
        </row>
        <row r="116">
          <cell r="Y116">
            <v>0.41899999999999998</v>
          </cell>
        </row>
        <row r="118">
          <cell r="Y118">
            <v>30161.77</v>
          </cell>
        </row>
        <row r="119">
          <cell r="Y119">
            <v>0</v>
          </cell>
        </row>
        <row r="120">
          <cell r="Y120">
            <v>0</v>
          </cell>
        </row>
        <row r="121">
          <cell r="Y121">
            <v>5310.52</v>
          </cell>
        </row>
        <row r="122">
          <cell r="Y122">
            <v>0</v>
          </cell>
        </row>
        <row r="123">
          <cell r="Y123">
            <v>0</v>
          </cell>
        </row>
        <row r="124">
          <cell r="Y124">
            <v>0</v>
          </cell>
        </row>
        <row r="125">
          <cell r="Y125">
            <v>24846.219000000001</v>
          </cell>
        </row>
        <row r="126">
          <cell r="Y126">
            <v>5.0309999999999997</v>
          </cell>
        </row>
        <row r="128">
          <cell r="Y128">
            <v>2000887.9551500001</v>
          </cell>
        </row>
        <row r="129">
          <cell r="Y129">
            <v>8565.5551300000006</v>
          </cell>
        </row>
        <row r="130">
          <cell r="Y130">
            <v>1575.0865799999999</v>
          </cell>
        </row>
        <row r="131">
          <cell r="Y131">
            <v>1896067.8350500001</v>
          </cell>
        </row>
        <row r="132">
          <cell r="Y132">
            <v>62532.255490000003</v>
          </cell>
        </row>
        <row r="133">
          <cell r="Y133">
            <v>32147.222900000001</v>
          </cell>
        </row>
        <row r="135">
          <cell r="Y135">
            <v>52880.215689999997</v>
          </cell>
        </row>
        <row r="136">
          <cell r="Y136">
            <v>211748.50657999999</v>
          </cell>
        </row>
        <row r="137">
          <cell r="Y137">
            <v>6609255.3222700004</v>
          </cell>
        </row>
        <row r="138">
          <cell r="Y138">
            <v>1018088.60425</v>
          </cell>
        </row>
        <row r="139">
          <cell r="Y139">
            <v>7627343.9265200002</v>
          </cell>
        </row>
      </sheetData>
      <sheetData sheetId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5"/>
      <sheetName val="2007 - 2019"/>
    </sheetNames>
    <sheetDataSet>
      <sheetData sheetId="0">
        <row r="7">
          <cell r="Z7">
            <v>84787.504060000007</v>
          </cell>
        </row>
        <row r="8">
          <cell r="Z8">
            <v>3373039.5709099998</v>
          </cell>
        </row>
        <row r="9">
          <cell r="Z9">
            <v>191778.93498999998</v>
          </cell>
        </row>
        <row r="10">
          <cell r="Z10">
            <v>44027.754999999997</v>
          </cell>
        </row>
        <row r="11">
          <cell r="Z11">
            <v>144937.01999999999</v>
          </cell>
        </row>
        <row r="12">
          <cell r="Z12">
            <v>2814.1599900000001</v>
          </cell>
        </row>
        <row r="14">
          <cell r="Z14">
            <v>3181260.6359199998</v>
          </cell>
        </row>
        <row r="15">
          <cell r="Z15">
            <v>1956622.02376</v>
          </cell>
        </row>
        <row r="16">
          <cell r="Z16">
            <v>1206836.1381600001</v>
          </cell>
        </row>
        <row r="17">
          <cell r="Z17">
            <v>17802.473999999998</v>
          </cell>
        </row>
        <row r="18">
          <cell r="Z18">
            <v>0</v>
          </cell>
        </row>
        <row r="19">
          <cell r="Z19">
            <v>0</v>
          </cell>
        </row>
        <row r="21">
          <cell r="Z21">
            <v>5433828.6392799998</v>
          </cell>
        </row>
        <row r="22">
          <cell r="Z22">
            <v>73484.767999999996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73484.767999999996</v>
          </cell>
        </row>
        <row r="29">
          <cell r="Z29">
            <v>0</v>
          </cell>
        </row>
        <row r="31">
          <cell r="Z31">
            <v>5360343.8712799996</v>
          </cell>
        </row>
        <row r="32">
          <cell r="Z32">
            <v>136239.038</v>
          </cell>
        </row>
        <row r="33">
          <cell r="Z33">
            <v>128189.27544</v>
          </cell>
        </row>
        <row r="34">
          <cell r="Z34">
            <v>295718.19536999997</v>
          </cell>
        </row>
        <row r="35">
          <cell r="Z35">
            <v>222156.94641999999</v>
          </cell>
        </row>
        <row r="36">
          <cell r="Z36">
            <v>4578040.4160500001</v>
          </cell>
        </row>
        <row r="38">
          <cell r="Z38">
            <v>86295.567429999996</v>
          </cell>
        </row>
        <row r="39">
          <cell r="Z39">
            <v>8672.5704299999998</v>
          </cell>
        </row>
        <row r="40">
          <cell r="Z40">
            <v>100</v>
          </cell>
        </row>
        <row r="41">
          <cell r="Z41">
            <v>0</v>
          </cell>
        </row>
        <row r="42">
          <cell r="Z42">
            <v>0</v>
          </cell>
        </row>
        <row r="43">
          <cell r="Z43">
            <v>8572.5704299999998</v>
          </cell>
        </row>
        <row r="44">
          <cell r="Z44">
            <v>0</v>
          </cell>
        </row>
        <row r="46">
          <cell r="Z46">
            <v>77622.997000000003</v>
          </cell>
        </row>
        <row r="47">
          <cell r="Z47">
            <v>77622.997000000003</v>
          </cell>
        </row>
        <row r="48">
          <cell r="Z48">
            <v>0</v>
          </cell>
        </row>
        <row r="49">
          <cell r="Z49">
            <v>0</v>
          </cell>
        </row>
        <row r="50">
          <cell r="Z50">
            <v>0</v>
          </cell>
        </row>
        <row r="51">
          <cell r="Z51">
            <v>0</v>
          </cell>
        </row>
        <row r="55">
          <cell r="Z55">
            <v>6212062.4105699994</v>
          </cell>
        </row>
        <row r="56">
          <cell r="Z56">
            <v>5454665.7354199998</v>
          </cell>
        </row>
        <row r="57">
          <cell r="Z57">
            <v>573881.59403000004</v>
          </cell>
        </row>
        <row r="58">
          <cell r="Z58">
            <v>19047.31652</v>
          </cell>
        </row>
        <row r="59">
          <cell r="Z59">
            <v>1588642.0111</v>
          </cell>
        </row>
        <row r="60">
          <cell r="Z60">
            <v>455032.56835999998</v>
          </cell>
        </row>
        <row r="61">
          <cell r="Z61">
            <v>159125.09826999999</v>
          </cell>
        </row>
        <row r="62">
          <cell r="Z62">
            <v>974484.34447000001</v>
          </cell>
        </row>
        <row r="63">
          <cell r="Z63">
            <v>19288.70002</v>
          </cell>
        </row>
        <row r="64">
          <cell r="Z64">
            <v>584.31679999999994</v>
          </cell>
        </row>
        <row r="65">
          <cell r="Z65">
            <v>0</v>
          </cell>
        </row>
        <row r="66">
          <cell r="Z66">
            <v>32.397799999999997</v>
          </cell>
        </row>
        <row r="67">
          <cell r="Z67">
            <v>551.91899999999998</v>
          </cell>
        </row>
        <row r="68">
          <cell r="Z68">
            <v>18704.38322</v>
          </cell>
        </row>
        <row r="69">
          <cell r="Z69">
            <v>911.49251000000004</v>
          </cell>
        </row>
        <row r="70">
          <cell r="Z70">
            <v>0.62058000000000002</v>
          </cell>
        </row>
        <row r="71">
          <cell r="Z71">
            <v>0.88527999999999996</v>
          </cell>
        </row>
        <row r="72">
          <cell r="Z72">
            <v>17791.384849999999</v>
          </cell>
        </row>
        <row r="73">
          <cell r="Z73">
            <v>0</v>
          </cell>
        </row>
        <row r="74">
          <cell r="Z74">
            <v>3253806.11375</v>
          </cell>
        </row>
        <row r="75">
          <cell r="Z75">
            <v>2818780.8625099999</v>
          </cell>
        </row>
        <row r="76">
          <cell r="Z76">
            <v>97827.169169999994</v>
          </cell>
        </row>
        <row r="77">
          <cell r="Z77">
            <v>15441.20694</v>
          </cell>
        </row>
        <row r="78">
          <cell r="Z78">
            <v>321756.87513</v>
          </cell>
        </row>
        <row r="80">
          <cell r="Z80">
            <v>757396.67515000002</v>
          </cell>
        </row>
        <row r="81">
          <cell r="Z81">
            <v>0</v>
          </cell>
        </row>
        <row r="82">
          <cell r="Z82">
            <v>0</v>
          </cell>
        </row>
        <row r="83">
          <cell r="Z83">
            <v>35687.600720000002</v>
          </cell>
        </row>
        <row r="84">
          <cell r="Z84">
            <v>402110.06281999999</v>
          </cell>
        </row>
        <row r="85">
          <cell r="Z85">
            <v>319599.01160999999</v>
          </cell>
        </row>
        <row r="87">
          <cell r="Z87">
            <v>188964.96854999999</v>
          </cell>
        </row>
        <row r="88">
          <cell r="Z88">
            <v>147875.6225</v>
          </cell>
        </row>
        <row r="89">
          <cell r="Z89">
            <v>15526854.283300001</v>
          </cell>
        </row>
        <row r="94">
          <cell r="Z94">
            <v>11250342.96858</v>
          </cell>
        </row>
        <row r="95">
          <cell r="Z95">
            <v>1661779.1689499998</v>
          </cell>
        </row>
        <row r="96">
          <cell r="Z96">
            <v>12912122.137529999</v>
          </cell>
        </row>
        <row r="98">
          <cell r="Z98">
            <v>4173576.5820999998</v>
          </cell>
        </row>
        <row r="99">
          <cell r="Z99">
            <v>5679.4527500000004</v>
          </cell>
        </row>
        <row r="100">
          <cell r="Z100">
            <v>119612.23138</v>
          </cell>
        </row>
        <row r="101">
          <cell r="Z101">
            <v>2002055.38155</v>
          </cell>
        </row>
        <row r="102">
          <cell r="Z102">
            <v>52.660850000000003</v>
          </cell>
        </row>
        <row r="103">
          <cell r="Z103">
            <v>55173.161559999993</v>
          </cell>
        </row>
        <row r="104">
          <cell r="Z104">
            <v>44593.388189999998</v>
          </cell>
        </row>
        <row r="105">
          <cell r="Z105">
            <v>1402806.8033799999</v>
          </cell>
        </row>
        <row r="106">
          <cell r="Z106">
            <v>543603.50243999995</v>
          </cell>
        </row>
        <row r="108">
          <cell r="Z108">
            <v>3168206.1211899999</v>
          </cell>
        </row>
        <row r="109">
          <cell r="Z109">
            <v>997.99834999999996</v>
          </cell>
        </row>
        <row r="110">
          <cell r="Z110">
            <v>18111.46531</v>
          </cell>
        </row>
        <row r="111">
          <cell r="Z111">
            <v>798300.81470999995</v>
          </cell>
        </row>
        <row r="112">
          <cell r="Z112">
            <v>17152.680690000001</v>
          </cell>
        </row>
        <row r="113">
          <cell r="Z113">
            <v>4905.55944</v>
          </cell>
        </row>
        <row r="114">
          <cell r="Z114">
            <v>3846.2924400000002</v>
          </cell>
        </row>
        <row r="115">
          <cell r="Z115">
            <v>879890.85996000003</v>
          </cell>
        </row>
        <row r="116">
          <cell r="Z116">
            <v>1445000.4502900001</v>
          </cell>
        </row>
        <row r="118">
          <cell r="Z118">
            <v>3908560.2652899995</v>
          </cell>
        </row>
        <row r="119">
          <cell r="Z119">
            <v>899405.90255</v>
          </cell>
        </row>
        <row r="120">
          <cell r="Z120">
            <v>306028.86670999997</v>
          </cell>
        </row>
        <row r="121">
          <cell r="Z121">
            <v>927495.44437000004</v>
          </cell>
        </row>
        <row r="122">
          <cell r="Z122">
            <v>6861.0420000000004</v>
          </cell>
        </row>
        <row r="123">
          <cell r="Z123">
            <v>114956.75609</v>
          </cell>
        </row>
        <row r="124">
          <cell r="Z124">
            <v>55941.245219999997</v>
          </cell>
        </row>
        <row r="125">
          <cell r="Z125">
            <v>788065.11843000003</v>
          </cell>
        </row>
        <row r="126">
          <cell r="Z126">
            <v>809805.88991999999</v>
          </cell>
        </row>
        <row r="128">
          <cell r="Z128">
            <v>1661779.1689499998</v>
          </cell>
        </row>
        <row r="129">
          <cell r="Z129">
            <v>156044.11043</v>
          </cell>
        </row>
        <row r="130">
          <cell r="Z130">
            <v>11792.52024</v>
          </cell>
        </row>
        <row r="131">
          <cell r="Z131">
            <v>198065.91738999999</v>
          </cell>
        </row>
        <row r="132">
          <cell r="Z132">
            <v>642626.00700999994</v>
          </cell>
        </row>
        <row r="133">
          <cell r="Z133">
            <v>653250.61387999996</v>
          </cell>
        </row>
        <row r="135">
          <cell r="Z135">
            <v>45425.463459999999</v>
          </cell>
        </row>
        <row r="136">
          <cell r="Z136">
            <v>387924.39704000001</v>
          </cell>
        </row>
        <row r="137">
          <cell r="Z137">
            <v>13345471.998029999</v>
          </cell>
        </row>
        <row r="138">
          <cell r="Z138">
            <v>2181382.2840800001</v>
          </cell>
        </row>
        <row r="139">
          <cell r="Z139">
            <v>15526854.28211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5"/>
      <sheetName val="2007-2019"/>
    </sheetNames>
    <sheetDataSet>
      <sheetData sheetId="0">
        <row r="7">
          <cell r="Z7">
            <v>2465.3000900000002</v>
          </cell>
        </row>
        <row r="8">
          <cell r="Z8">
            <v>3844748.14127</v>
          </cell>
        </row>
        <row r="9">
          <cell r="Z9">
            <v>40469.123530000004</v>
          </cell>
        </row>
        <row r="10">
          <cell r="Z10">
            <v>10430.57357</v>
          </cell>
        </row>
        <row r="11">
          <cell r="Z11">
            <v>29953.541000000001</v>
          </cell>
        </row>
        <row r="12">
          <cell r="Z12">
            <v>85.008960000000002</v>
          </cell>
        </row>
        <row r="14">
          <cell r="Z14">
            <v>3804279.01774</v>
          </cell>
        </row>
        <row r="15">
          <cell r="Z15">
            <v>3304206.2055899999</v>
          </cell>
        </row>
        <row r="16">
          <cell r="Z16">
            <v>459667.47115</v>
          </cell>
        </row>
        <row r="17">
          <cell r="Z17">
            <v>40395.741000000002</v>
          </cell>
        </row>
        <row r="18">
          <cell r="Z18">
            <v>9.6</v>
          </cell>
        </row>
        <row r="19">
          <cell r="Z19">
            <v>0</v>
          </cell>
        </row>
        <row r="21">
          <cell r="Z21">
            <v>189120.72560999999</v>
          </cell>
        </row>
        <row r="22">
          <cell r="Z22">
            <v>0</v>
          </cell>
        </row>
        <row r="23">
          <cell r="Z23">
            <v>0</v>
          </cell>
        </row>
        <row r="24">
          <cell r="Z24">
            <v>0</v>
          </cell>
        </row>
        <row r="25">
          <cell r="Z25">
            <v>0</v>
          </cell>
        </row>
        <row r="26">
          <cell r="Z26">
            <v>0</v>
          </cell>
        </row>
        <row r="27">
          <cell r="Z27">
            <v>0</v>
          </cell>
        </row>
        <row r="28">
          <cell r="Z28">
            <v>0</v>
          </cell>
        </row>
        <row r="29">
          <cell r="Z29">
            <v>0</v>
          </cell>
        </row>
        <row r="31">
          <cell r="Z31">
            <v>189120.72560999999</v>
          </cell>
        </row>
        <row r="32">
          <cell r="Z32">
            <v>0</v>
          </cell>
        </row>
        <row r="33">
          <cell r="Z33">
            <v>2974.8076099999998</v>
          </cell>
        </row>
        <row r="34">
          <cell r="Z34">
            <v>8453.8169999999991</v>
          </cell>
        </row>
        <row r="35">
          <cell r="Z35">
            <v>19704.371999999999</v>
          </cell>
        </row>
        <row r="36">
          <cell r="Z36">
            <v>157987.72899999999</v>
          </cell>
        </row>
        <row r="38">
          <cell r="Z38">
            <v>119187.72414999999</v>
          </cell>
        </row>
        <row r="39">
          <cell r="Z39">
            <v>21163.555339999999</v>
          </cell>
        </row>
        <row r="40">
          <cell r="Z40">
            <v>0</v>
          </cell>
        </row>
        <row r="41">
          <cell r="Z41">
            <v>0</v>
          </cell>
        </row>
        <row r="42">
          <cell r="Z42">
            <v>50</v>
          </cell>
        </row>
        <row r="43">
          <cell r="Z43">
            <v>21113.555339999999</v>
          </cell>
        </row>
        <row r="44">
          <cell r="Z44">
            <v>0</v>
          </cell>
        </row>
        <row r="46">
          <cell r="Z46">
            <v>98024.168810000003</v>
          </cell>
        </row>
        <row r="47">
          <cell r="Z47">
            <v>15978.131359999999</v>
          </cell>
        </row>
        <row r="48">
          <cell r="Z48">
            <v>70704.855049999998</v>
          </cell>
        </row>
        <row r="49">
          <cell r="Z49">
            <v>11341.1824</v>
          </cell>
        </row>
        <row r="50">
          <cell r="Z50">
            <v>0</v>
          </cell>
        </row>
        <row r="51">
          <cell r="Z51">
            <v>0</v>
          </cell>
        </row>
        <row r="55">
          <cell r="Z55">
            <v>3072402.81164</v>
          </cell>
        </row>
        <row r="56">
          <cell r="Z56">
            <v>1243669.50373</v>
          </cell>
        </row>
        <row r="57">
          <cell r="Z57">
            <v>0</v>
          </cell>
        </row>
        <row r="58">
          <cell r="Z58">
            <v>0</v>
          </cell>
        </row>
        <row r="59">
          <cell r="Z59">
            <v>3110.87</v>
          </cell>
        </row>
        <row r="60">
          <cell r="Z60">
            <v>3110.87</v>
          </cell>
        </row>
        <row r="61">
          <cell r="Z61">
            <v>0</v>
          </cell>
        </row>
        <row r="62">
          <cell r="Z62">
            <v>0</v>
          </cell>
        </row>
        <row r="63">
          <cell r="Z63">
            <v>1240558.6337299999</v>
          </cell>
        </row>
        <row r="64">
          <cell r="Z64">
            <v>0</v>
          </cell>
        </row>
        <row r="65">
          <cell r="Z65">
            <v>0</v>
          </cell>
        </row>
        <row r="66">
          <cell r="Z66">
            <v>0</v>
          </cell>
        </row>
        <row r="67">
          <cell r="Z67">
            <v>0</v>
          </cell>
        </row>
        <row r="68">
          <cell r="Z68">
            <v>1240558.6337299999</v>
          </cell>
        </row>
        <row r="69">
          <cell r="Z69">
            <v>0</v>
          </cell>
        </row>
        <row r="70">
          <cell r="Z70">
            <v>0</v>
          </cell>
        </row>
        <row r="71">
          <cell r="Z71">
            <v>0</v>
          </cell>
        </row>
        <row r="72">
          <cell r="Z72">
            <v>1240558.6337299999</v>
          </cell>
        </row>
        <row r="73">
          <cell r="Z73">
            <v>0</v>
          </cell>
        </row>
        <row r="74">
          <cell r="Z74">
            <v>0</v>
          </cell>
        </row>
        <row r="75">
          <cell r="Z75">
            <v>0</v>
          </cell>
        </row>
        <row r="76">
          <cell r="Z76">
            <v>0</v>
          </cell>
        </row>
        <row r="77">
          <cell r="Z77">
            <v>0</v>
          </cell>
        </row>
        <row r="78">
          <cell r="Z78">
            <v>0</v>
          </cell>
        </row>
        <row r="80">
          <cell r="Z80">
            <v>1828733.30791</v>
          </cell>
        </row>
        <row r="81">
          <cell r="Z81">
            <v>5224.92</v>
          </cell>
        </row>
        <row r="82">
          <cell r="Z82">
            <v>1000000</v>
          </cell>
        </row>
        <row r="83">
          <cell r="Z83">
            <v>823239.17790999997</v>
          </cell>
        </row>
        <row r="84">
          <cell r="Z84">
            <v>269.20999999999998</v>
          </cell>
        </row>
        <row r="85">
          <cell r="Z85">
            <v>0</v>
          </cell>
        </row>
        <row r="87">
          <cell r="Z87">
            <v>7780.9069099999997</v>
          </cell>
        </row>
        <row r="88">
          <cell r="Z88">
            <v>494583.62196000002</v>
          </cell>
        </row>
        <row r="89">
          <cell r="Z89">
            <v>7730289.2316300003</v>
          </cell>
        </row>
        <row r="94">
          <cell r="Z94">
            <v>5196135.8639400005</v>
          </cell>
        </row>
        <row r="95">
          <cell r="Z95">
            <v>1213077.4131599998</v>
          </cell>
        </row>
        <row r="96">
          <cell r="Z96">
            <v>6409213.2771000005</v>
          </cell>
        </row>
        <row r="98">
          <cell r="Z98">
            <v>139702.06307000003</v>
          </cell>
        </row>
        <row r="99">
          <cell r="Z99">
            <v>0</v>
          </cell>
        </row>
        <row r="100">
          <cell r="Z100">
            <v>0</v>
          </cell>
        </row>
        <row r="101">
          <cell r="Z101">
            <v>28.76858</v>
          </cell>
        </row>
        <row r="102">
          <cell r="Z102">
            <v>0</v>
          </cell>
        </row>
        <row r="103">
          <cell r="Z103">
            <v>3083.8813500000001</v>
          </cell>
        </row>
        <row r="104">
          <cell r="Z104">
            <v>0</v>
          </cell>
        </row>
        <row r="105">
          <cell r="Z105">
            <v>135377.56400000001</v>
          </cell>
        </row>
        <row r="106">
          <cell r="Z106">
            <v>1211.84914</v>
          </cell>
        </row>
        <row r="108">
          <cell r="Z108">
            <v>5026864.9138700003</v>
          </cell>
        </row>
        <row r="109">
          <cell r="Z109">
            <v>0</v>
          </cell>
        </row>
        <row r="110">
          <cell r="Z110">
            <v>0</v>
          </cell>
        </row>
        <row r="111">
          <cell r="Z111">
            <v>189.51300000000001</v>
          </cell>
        </row>
        <row r="112">
          <cell r="Z112">
            <v>0</v>
          </cell>
        </row>
        <row r="113">
          <cell r="Z113">
            <v>0</v>
          </cell>
        </row>
        <row r="114">
          <cell r="Z114">
            <v>0</v>
          </cell>
        </row>
        <row r="115">
          <cell r="Z115">
            <v>5026674.9818700003</v>
          </cell>
        </row>
        <row r="116">
          <cell r="Z116">
            <v>0.41899999999999998</v>
          </cell>
        </row>
        <row r="118">
          <cell r="Z118">
            <v>29568.886999999999</v>
          </cell>
        </row>
        <row r="119">
          <cell r="Z119">
            <v>0</v>
          </cell>
        </row>
        <row r="120">
          <cell r="Z120">
            <v>0</v>
          </cell>
        </row>
        <row r="121">
          <cell r="Z121">
            <v>5313.5190000000002</v>
          </cell>
        </row>
        <row r="122">
          <cell r="Z122">
            <v>0</v>
          </cell>
        </row>
        <row r="123">
          <cell r="Z123">
            <v>0</v>
          </cell>
        </row>
        <row r="124">
          <cell r="Z124">
            <v>0</v>
          </cell>
        </row>
        <row r="125">
          <cell r="Z125">
            <v>24250.337</v>
          </cell>
        </row>
        <row r="126">
          <cell r="Z126">
            <v>5.0309999999999997</v>
          </cell>
        </row>
        <row r="128">
          <cell r="Z128">
            <v>1213077.4131599998</v>
          </cell>
        </row>
        <row r="129">
          <cell r="Z129">
            <v>2619.1860000000001</v>
          </cell>
        </row>
        <row r="130">
          <cell r="Z130">
            <v>3890.0809100000001</v>
          </cell>
        </row>
        <row r="131">
          <cell r="Z131">
            <v>1111903.6207099999</v>
          </cell>
        </row>
        <row r="132">
          <cell r="Z132">
            <v>62224.059000000001</v>
          </cell>
        </row>
        <row r="133">
          <cell r="Z133">
            <v>32440.466540000001</v>
          </cell>
        </row>
        <row r="135">
          <cell r="Z135">
            <v>111949.64494</v>
          </cell>
        </row>
        <row r="136">
          <cell r="Z136">
            <v>189266.90945000001</v>
          </cell>
        </row>
        <row r="137">
          <cell r="Z137">
            <v>6710429.8314899998</v>
          </cell>
        </row>
        <row r="138">
          <cell r="Z138">
            <v>1019859.4000800001</v>
          </cell>
        </row>
        <row r="139">
          <cell r="Z139">
            <v>7730289.2315699998</v>
          </cell>
        </row>
      </sheetData>
      <sheetData sheetId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 - 2026"/>
      <sheetName val="2007 - 2019"/>
    </sheetNames>
    <sheetDataSet>
      <sheetData sheetId="0">
        <row r="7">
          <cell r="AA7">
            <v>77883.948659999995</v>
          </cell>
        </row>
        <row r="8">
          <cell r="AA8">
            <v>3644765.2875200002</v>
          </cell>
        </row>
        <row r="9">
          <cell r="AA9">
            <v>228007.77661000003</v>
          </cell>
        </row>
        <row r="10">
          <cell r="AA10">
            <v>68370.302009999999</v>
          </cell>
        </row>
        <row r="11">
          <cell r="AA11">
            <v>159081.00593000001</v>
          </cell>
        </row>
        <row r="12">
          <cell r="AA12">
            <v>556.46866999999997</v>
          </cell>
        </row>
        <row r="14">
          <cell r="AA14">
            <v>3416757.5109100002</v>
          </cell>
        </row>
        <row r="15">
          <cell r="AA15">
            <v>2132918.9845699999</v>
          </cell>
        </row>
        <row r="16">
          <cell r="AA16">
            <v>1265059.1143400001</v>
          </cell>
        </row>
        <row r="17">
          <cell r="AA17">
            <v>18779.412</v>
          </cell>
        </row>
        <row r="18">
          <cell r="AA18">
            <v>0</v>
          </cell>
        </row>
        <row r="19">
          <cell r="AA19">
            <v>0</v>
          </cell>
        </row>
        <row r="21">
          <cell r="AA21">
            <v>5442128.93793</v>
          </cell>
        </row>
        <row r="22">
          <cell r="AA22">
            <v>73484.767999999996</v>
          </cell>
        </row>
        <row r="23">
          <cell r="AA23">
            <v>0</v>
          </cell>
        </row>
        <row r="24">
          <cell r="AA24">
            <v>0</v>
          </cell>
        </row>
        <row r="25">
          <cell r="AA25">
            <v>0</v>
          </cell>
        </row>
        <row r="26">
          <cell r="AA26">
            <v>0</v>
          </cell>
        </row>
        <row r="27">
          <cell r="AA27">
            <v>0</v>
          </cell>
        </row>
        <row r="28">
          <cell r="AA28">
            <v>73484.767999999996</v>
          </cell>
        </row>
        <row r="29">
          <cell r="AA29">
            <v>0</v>
          </cell>
        </row>
        <row r="31">
          <cell r="AA31">
            <v>5368644.1699299999</v>
          </cell>
        </row>
        <row r="32">
          <cell r="AA32">
            <v>133755.32717</v>
          </cell>
        </row>
        <row r="33">
          <cell r="AA33">
            <v>127873.67453</v>
          </cell>
        </row>
        <row r="34">
          <cell r="AA34">
            <v>250867.57949</v>
          </cell>
        </row>
        <row r="35">
          <cell r="AA35">
            <v>239653.96153</v>
          </cell>
        </row>
        <row r="36">
          <cell r="AA36">
            <v>4616493.6272099996</v>
          </cell>
        </row>
        <row r="38">
          <cell r="AA38">
            <v>86300.800430000003</v>
          </cell>
        </row>
        <row r="39">
          <cell r="AA39">
            <v>8677.8034299999999</v>
          </cell>
        </row>
        <row r="40">
          <cell r="AA40">
            <v>100</v>
          </cell>
        </row>
        <row r="41">
          <cell r="AA41">
            <v>0</v>
          </cell>
        </row>
        <row r="42">
          <cell r="AA42">
            <v>4707.0780000000004</v>
          </cell>
        </row>
        <row r="43">
          <cell r="AA43">
            <v>3870.72543</v>
          </cell>
        </row>
        <row r="44">
          <cell r="AA44">
            <v>0</v>
          </cell>
        </row>
        <row r="46">
          <cell r="AA46">
            <v>77622.997000000003</v>
          </cell>
        </row>
        <row r="47">
          <cell r="AA47">
            <v>77622.997000000003</v>
          </cell>
        </row>
        <row r="48">
          <cell r="AA48">
            <v>0</v>
          </cell>
        </row>
        <row r="49">
          <cell r="AA49">
            <v>0</v>
          </cell>
        </row>
        <row r="50">
          <cell r="AA50">
            <v>0</v>
          </cell>
        </row>
        <row r="51">
          <cell r="AA51">
            <v>0</v>
          </cell>
        </row>
        <row r="55">
          <cell r="AA55">
            <v>6273123.3753300002</v>
          </cell>
        </row>
        <row r="56">
          <cell r="AA56">
            <v>5485338.9704</v>
          </cell>
        </row>
        <row r="57">
          <cell r="AA57">
            <v>552531.48143000004</v>
          </cell>
        </row>
        <row r="58">
          <cell r="AA58">
            <v>17902.610479999999</v>
          </cell>
        </row>
        <row r="59">
          <cell r="AA59">
            <v>1609878.6298199999</v>
          </cell>
        </row>
        <row r="60">
          <cell r="AA60">
            <v>459613.74664999999</v>
          </cell>
        </row>
        <row r="61">
          <cell r="AA61">
            <v>165165.09200999999</v>
          </cell>
        </row>
        <row r="62">
          <cell r="AA62">
            <v>985099.79116000002</v>
          </cell>
        </row>
        <row r="63">
          <cell r="AA63">
            <v>18794.477739999998</v>
          </cell>
        </row>
        <row r="64">
          <cell r="AA64">
            <v>636.36247000000003</v>
          </cell>
        </row>
        <row r="65">
          <cell r="AA65">
            <v>0</v>
          </cell>
        </row>
        <row r="66">
          <cell r="AA66">
            <v>636.36247000000003</v>
          </cell>
        </row>
        <row r="67">
          <cell r="AA67">
            <v>0</v>
          </cell>
        </row>
        <row r="68">
          <cell r="AA68">
            <v>18158.115269999998</v>
          </cell>
        </row>
        <row r="69">
          <cell r="AA69">
            <v>891.40625</v>
          </cell>
        </row>
        <row r="70">
          <cell r="AA70">
            <v>5.4752099999999997</v>
          </cell>
        </row>
        <row r="71">
          <cell r="AA71">
            <v>8.0000000000000004E-4</v>
          </cell>
        </row>
        <row r="72">
          <cell r="AA72">
            <v>17261.23301</v>
          </cell>
        </row>
        <row r="73">
          <cell r="AA73">
            <v>0</v>
          </cell>
        </row>
        <row r="74">
          <cell r="AA74">
            <v>3286231.7709300001</v>
          </cell>
        </row>
        <row r="75">
          <cell r="AA75">
            <v>2852818.2077000001</v>
          </cell>
        </row>
        <row r="76">
          <cell r="AA76">
            <v>100390.28546</v>
          </cell>
        </row>
        <row r="77">
          <cell r="AA77">
            <v>2547.2168000000001</v>
          </cell>
        </row>
        <row r="78">
          <cell r="AA78">
            <v>330476.06096999999</v>
          </cell>
        </row>
        <row r="80">
          <cell r="AA80">
            <v>787784.40492999996</v>
          </cell>
        </row>
        <row r="81">
          <cell r="AA81">
            <v>0</v>
          </cell>
        </row>
        <row r="82">
          <cell r="AA82">
            <v>0</v>
          </cell>
        </row>
        <row r="83">
          <cell r="AA83">
            <v>44670.647490000003</v>
          </cell>
        </row>
        <row r="84">
          <cell r="AA84">
            <v>425339.63913999998</v>
          </cell>
        </row>
        <row r="85">
          <cell r="AA85">
            <v>317774.11829999997</v>
          </cell>
        </row>
        <row r="87">
          <cell r="AA87">
            <v>189582.39509999999</v>
          </cell>
        </row>
        <row r="88">
          <cell r="AA88">
            <v>142014.97330000001</v>
          </cell>
        </row>
        <row r="89">
          <cell r="AA89">
            <v>15855799.71827</v>
          </cell>
        </row>
        <row r="94">
          <cell r="AA94">
            <v>11539985.567189999</v>
          </cell>
        </row>
        <row r="95">
          <cell r="AA95">
            <v>1748299.44374</v>
          </cell>
        </row>
        <row r="96">
          <cell r="AA96">
            <v>13288285.010929998</v>
          </cell>
        </row>
        <row r="98">
          <cell r="AA98">
            <v>4278939.6931500006</v>
          </cell>
        </row>
        <row r="99">
          <cell r="AA99">
            <v>10759.09678</v>
          </cell>
        </row>
        <row r="100">
          <cell r="AA100">
            <v>121551.69086</v>
          </cell>
        </row>
        <row r="101">
          <cell r="AA101">
            <v>2266995.1472499999</v>
          </cell>
        </row>
        <row r="102">
          <cell r="AA102">
            <v>23.875209999999999</v>
          </cell>
        </row>
        <row r="103">
          <cell r="AA103">
            <v>57763.217230000002</v>
          </cell>
        </row>
        <row r="104">
          <cell r="AA104">
            <v>28581.224760000001</v>
          </cell>
        </row>
        <row r="105">
          <cell r="AA105">
            <v>1263244.7950500001</v>
          </cell>
        </row>
        <row r="106">
          <cell r="AA106">
            <v>530020.64601000003</v>
          </cell>
        </row>
        <row r="108">
          <cell r="AA108">
            <v>3430495.5704000001</v>
          </cell>
        </row>
        <row r="109">
          <cell r="AA109">
            <v>1839.4701700000001</v>
          </cell>
        </row>
        <row r="110">
          <cell r="AA110">
            <v>38358.730790000001</v>
          </cell>
        </row>
        <row r="111">
          <cell r="AA111">
            <v>926342.51320000004</v>
          </cell>
        </row>
        <row r="112">
          <cell r="AA112">
            <v>7583.5326100000002</v>
          </cell>
        </row>
        <row r="113">
          <cell r="AA113">
            <v>7571.5001899999997</v>
          </cell>
        </row>
        <row r="114">
          <cell r="AA114">
            <v>2599.3481200000001</v>
          </cell>
        </row>
        <row r="115">
          <cell r="AA115">
            <v>917008.92012999998</v>
          </cell>
        </row>
        <row r="116">
          <cell r="AA116">
            <v>1529191.55519</v>
          </cell>
        </row>
        <row r="118">
          <cell r="AA118">
            <v>3830550.3036399996</v>
          </cell>
        </row>
        <row r="119">
          <cell r="AA119">
            <v>826477.57183999999</v>
          </cell>
        </row>
        <row r="120">
          <cell r="AA120">
            <v>344009.29061000003</v>
          </cell>
        </row>
        <row r="121">
          <cell r="AA121">
            <v>954051.00451</v>
          </cell>
        </row>
        <row r="122">
          <cell r="AA122">
            <v>6915.1970000000001</v>
          </cell>
        </row>
        <row r="123">
          <cell r="AA123">
            <v>148679.37638999999</v>
          </cell>
        </row>
        <row r="124">
          <cell r="AA124">
            <v>141086.34414999999</v>
          </cell>
        </row>
        <row r="125">
          <cell r="AA125">
            <v>567321.89509000001</v>
          </cell>
        </row>
        <row r="126">
          <cell r="AA126">
            <v>842009.62404999998</v>
          </cell>
        </row>
        <row r="128">
          <cell r="AA128">
            <v>1748299.44374</v>
          </cell>
        </row>
        <row r="129">
          <cell r="AA129">
            <v>156800.02872</v>
          </cell>
        </row>
        <row r="130">
          <cell r="AA130">
            <v>12004.589029999999</v>
          </cell>
        </row>
        <row r="131">
          <cell r="AA131">
            <v>232476.59260999999</v>
          </cell>
        </row>
        <row r="132">
          <cell r="AA132">
            <v>681304.61936000001</v>
          </cell>
        </row>
        <row r="133">
          <cell r="AA133">
            <v>665713.61401999998</v>
          </cell>
        </row>
        <row r="135">
          <cell r="AA135">
            <v>6896.4123099999997</v>
          </cell>
        </row>
        <row r="136">
          <cell r="AA136">
            <v>473937.97766999999</v>
          </cell>
        </row>
        <row r="137">
          <cell r="AA137">
            <v>13769119.400909999</v>
          </cell>
        </row>
        <row r="138">
          <cell r="AA138">
            <v>2086680.3198200001</v>
          </cell>
        </row>
        <row r="139">
          <cell r="AA139">
            <v>15855799.720729999</v>
          </cell>
        </row>
      </sheetData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0-2026"/>
      <sheetName val="2007-2019"/>
    </sheetNames>
    <sheetDataSet>
      <sheetData sheetId="0">
        <row r="7">
          <cell r="AA7">
            <v>854.62162000000001</v>
          </cell>
        </row>
        <row r="8">
          <cell r="AA8">
            <v>3864732.7496100003</v>
          </cell>
        </row>
        <row r="9">
          <cell r="AA9">
            <v>39454.445319999999</v>
          </cell>
        </row>
        <row r="10">
          <cell r="AA10">
            <v>9281.2849399999996</v>
          </cell>
        </row>
        <row r="11">
          <cell r="AA11">
            <v>29976.208999999999</v>
          </cell>
        </row>
        <row r="12">
          <cell r="AA12">
            <v>196.95138</v>
          </cell>
        </row>
        <row r="14">
          <cell r="AA14">
            <v>3825278.3042900003</v>
          </cell>
        </row>
        <row r="15">
          <cell r="AA15">
            <v>3113936.3649499998</v>
          </cell>
        </row>
        <row r="16">
          <cell r="AA16">
            <v>682968.08302000002</v>
          </cell>
        </row>
        <row r="17">
          <cell r="AA17">
            <v>28364.256000000001</v>
          </cell>
        </row>
        <row r="18">
          <cell r="AA18">
            <v>9.60032</v>
          </cell>
        </row>
        <row r="19">
          <cell r="AA19">
            <v>0</v>
          </cell>
        </row>
        <row r="21">
          <cell r="AA21">
            <v>178456.76831000001</v>
          </cell>
        </row>
        <row r="22">
          <cell r="AA22">
            <v>0</v>
          </cell>
        </row>
        <row r="23">
          <cell r="AA23">
            <v>0</v>
          </cell>
        </row>
        <row r="24">
          <cell r="AA24">
            <v>0</v>
          </cell>
        </row>
        <row r="25">
          <cell r="AA25">
            <v>0</v>
          </cell>
        </row>
        <row r="26">
          <cell r="AA26">
            <v>0</v>
          </cell>
        </row>
        <row r="27">
          <cell r="AA27">
            <v>0</v>
          </cell>
        </row>
        <row r="28">
          <cell r="AA28">
            <v>0</v>
          </cell>
        </row>
        <row r="29">
          <cell r="AA29">
            <v>0</v>
          </cell>
        </row>
        <row r="31">
          <cell r="AA31">
            <v>178456.76831000001</v>
          </cell>
        </row>
        <row r="32">
          <cell r="AA32">
            <v>0</v>
          </cell>
        </row>
        <row r="33">
          <cell r="AA33">
            <v>0</v>
          </cell>
        </row>
        <row r="34">
          <cell r="AA34">
            <v>8549.1239999999998</v>
          </cell>
        </row>
        <row r="35">
          <cell r="AA35">
            <v>19073.823</v>
          </cell>
        </row>
        <row r="36">
          <cell r="AA36">
            <v>150833.82131</v>
          </cell>
        </row>
        <row r="38">
          <cell r="AA38">
            <v>354342.97965999995</v>
          </cell>
        </row>
        <row r="39">
          <cell r="AA39">
            <v>192355.45942999999</v>
          </cell>
        </row>
        <row r="40">
          <cell r="AA40">
            <v>0</v>
          </cell>
        </row>
        <row r="41">
          <cell r="AA41">
            <v>0</v>
          </cell>
        </row>
        <row r="42">
          <cell r="AA42">
            <v>50</v>
          </cell>
        </row>
        <row r="43">
          <cell r="AA43">
            <v>192305.45942999999</v>
          </cell>
        </row>
        <row r="44">
          <cell r="AA44">
            <v>0</v>
          </cell>
        </row>
        <row r="46">
          <cell r="AA46">
            <v>161987.52022999999</v>
          </cell>
        </row>
        <row r="47">
          <cell r="AA47">
            <v>18399.581119999999</v>
          </cell>
        </row>
        <row r="48">
          <cell r="AA48">
            <v>44721.445820000001</v>
          </cell>
        </row>
        <row r="49">
          <cell r="AA49">
            <v>98866.493289999999</v>
          </cell>
        </row>
        <row r="50">
          <cell r="AA50">
            <v>0</v>
          </cell>
        </row>
        <row r="51">
          <cell r="AA51">
            <v>0</v>
          </cell>
        </row>
        <row r="55">
          <cell r="AA55">
            <v>2791887.17135</v>
          </cell>
        </row>
        <row r="56">
          <cell r="AA56">
            <v>1024873.5057400001</v>
          </cell>
        </row>
        <row r="57">
          <cell r="AA57">
            <v>0</v>
          </cell>
        </row>
        <row r="58">
          <cell r="AA58">
            <v>0</v>
          </cell>
        </row>
        <row r="59">
          <cell r="AA59">
            <v>4104.6080000000002</v>
          </cell>
        </row>
        <row r="60">
          <cell r="AA60">
            <v>4104.6080000000002</v>
          </cell>
        </row>
        <row r="61">
          <cell r="AA61">
            <v>0</v>
          </cell>
        </row>
        <row r="62">
          <cell r="AA62">
            <v>0</v>
          </cell>
        </row>
        <row r="63">
          <cell r="AA63">
            <v>1020768.89774</v>
          </cell>
        </row>
        <row r="64">
          <cell r="AA64">
            <v>0</v>
          </cell>
        </row>
        <row r="65">
          <cell r="AA65">
            <v>0</v>
          </cell>
        </row>
        <row r="66">
          <cell r="AA66">
            <v>0</v>
          </cell>
        </row>
        <row r="67">
          <cell r="AA67">
            <v>0</v>
          </cell>
        </row>
        <row r="68">
          <cell r="AA68">
            <v>1020768.89774</v>
          </cell>
        </row>
        <row r="69">
          <cell r="AA69">
            <v>0</v>
          </cell>
        </row>
        <row r="70">
          <cell r="AA70">
            <v>0</v>
          </cell>
        </row>
        <row r="71">
          <cell r="AA71">
            <v>0</v>
          </cell>
        </row>
        <row r="72">
          <cell r="AA72">
            <v>1020768.89774</v>
          </cell>
        </row>
        <row r="73">
          <cell r="AA73">
            <v>0</v>
          </cell>
        </row>
        <row r="74">
          <cell r="AA74">
            <v>0</v>
          </cell>
        </row>
        <row r="75">
          <cell r="AA75">
            <v>0</v>
          </cell>
        </row>
        <row r="76">
          <cell r="AA76">
            <v>0</v>
          </cell>
        </row>
        <row r="77">
          <cell r="AA77">
            <v>0</v>
          </cell>
        </row>
        <row r="78">
          <cell r="AA78">
            <v>0</v>
          </cell>
        </row>
        <row r="80">
          <cell r="AA80">
            <v>1767013.66561</v>
          </cell>
        </row>
        <row r="81">
          <cell r="AA81">
            <v>5146.5910000000003</v>
          </cell>
        </row>
        <row r="82">
          <cell r="AA82">
            <v>1000000</v>
          </cell>
        </row>
        <row r="83">
          <cell r="AA83">
            <v>761588.27361000003</v>
          </cell>
        </row>
        <row r="84">
          <cell r="AA84">
            <v>278.80099999999999</v>
          </cell>
        </row>
        <row r="85">
          <cell r="AA85">
            <v>0</v>
          </cell>
        </row>
        <row r="87">
          <cell r="AA87">
            <v>5442.05195</v>
          </cell>
        </row>
        <row r="88">
          <cell r="AA88">
            <v>211040.11515999999</v>
          </cell>
        </row>
        <row r="89">
          <cell r="AA89">
            <v>7406756.4576600008</v>
          </cell>
        </row>
        <row r="94">
          <cell r="AA94">
            <v>4787646.7165299999</v>
          </cell>
        </row>
        <row r="95">
          <cell r="AA95">
            <v>1055824.06039</v>
          </cell>
        </row>
        <row r="96">
          <cell r="AA96">
            <v>5843470.7769200001</v>
          </cell>
        </row>
        <row r="98">
          <cell r="AA98">
            <v>130353.70981</v>
          </cell>
        </row>
        <row r="99">
          <cell r="AA99">
            <v>0</v>
          </cell>
        </row>
        <row r="100">
          <cell r="AA100">
            <v>0</v>
          </cell>
        </row>
        <row r="101">
          <cell r="AA101">
            <v>33.17483</v>
          </cell>
        </row>
        <row r="102">
          <cell r="AA102">
            <v>0</v>
          </cell>
        </row>
        <row r="103">
          <cell r="AA103">
            <v>972.68880000000001</v>
          </cell>
        </row>
        <row r="104">
          <cell r="AA104">
            <v>14.223549999999999</v>
          </cell>
        </row>
        <row r="105">
          <cell r="AA105">
            <v>127495.13499999999</v>
          </cell>
        </row>
        <row r="106">
          <cell r="AA106">
            <v>1838.4876300000001</v>
          </cell>
        </row>
        <row r="108">
          <cell r="AA108">
            <v>4627699.5707200002</v>
          </cell>
        </row>
        <row r="109">
          <cell r="AA109">
            <v>0</v>
          </cell>
        </row>
        <row r="110">
          <cell r="AA110">
            <v>0</v>
          </cell>
        </row>
        <row r="111">
          <cell r="AA111">
            <v>287.71100000000001</v>
          </cell>
        </row>
        <row r="112">
          <cell r="AA112">
            <v>0</v>
          </cell>
        </row>
        <row r="113">
          <cell r="AA113">
            <v>0</v>
          </cell>
        </row>
        <row r="114">
          <cell r="AA114">
            <v>0</v>
          </cell>
        </row>
        <row r="115">
          <cell r="AA115">
            <v>4627411.4407200003</v>
          </cell>
        </row>
        <row r="116">
          <cell r="AA116">
            <v>0.41899999999999998</v>
          </cell>
        </row>
        <row r="118">
          <cell r="AA118">
            <v>29593.435999999998</v>
          </cell>
        </row>
        <row r="119">
          <cell r="AA119">
            <v>0</v>
          </cell>
        </row>
        <row r="120">
          <cell r="AA120">
            <v>0</v>
          </cell>
        </row>
        <row r="121">
          <cell r="AA121">
            <v>5438.4049999999997</v>
          </cell>
        </row>
        <row r="122">
          <cell r="AA122">
            <v>0</v>
          </cell>
        </row>
        <row r="123">
          <cell r="AA123">
            <v>0</v>
          </cell>
        </row>
        <row r="124">
          <cell r="AA124">
            <v>0</v>
          </cell>
        </row>
        <row r="125">
          <cell r="AA125">
            <v>24150</v>
          </cell>
        </row>
        <row r="126">
          <cell r="AA126">
            <v>5.0309999999999997</v>
          </cell>
        </row>
        <row r="128">
          <cell r="AA128">
            <v>1055824.06039</v>
          </cell>
        </row>
        <row r="129">
          <cell r="AA129">
            <v>3913.3429999999998</v>
          </cell>
        </row>
        <row r="130">
          <cell r="AA130">
            <v>1620.7135800000001</v>
          </cell>
        </row>
        <row r="131">
          <cell r="AA131">
            <v>966807.81860999996</v>
          </cell>
        </row>
        <row r="132">
          <cell r="AA132">
            <v>50251.764000000003</v>
          </cell>
        </row>
        <row r="133">
          <cell r="AA133">
            <v>33230.421199999997</v>
          </cell>
        </row>
        <row r="135">
          <cell r="AA135">
            <v>114279.99974</v>
          </cell>
        </row>
        <row r="136">
          <cell r="AA136">
            <v>416619.24183999997</v>
          </cell>
        </row>
        <row r="137">
          <cell r="AA137">
            <v>6374370.0185000002</v>
          </cell>
        </row>
        <row r="138">
          <cell r="AA138">
            <v>1032386.43909</v>
          </cell>
        </row>
        <row r="139">
          <cell r="AA139">
            <v>7406756.4575900007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- 2019"/>
      <sheetName val="2007 - 2014"/>
    </sheetNames>
    <sheetDataSet>
      <sheetData sheetId="0">
        <row r="7">
          <cell r="U7">
            <v>73566</v>
          </cell>
        </row>
        <row r="8">
          <cell r="U8">
            <v>5630961</v>
          </cell>
        </row>
        <row r="10">
          <cell r="U10">
            <v>56338</v>
          </cell>
        </row>
        <row r="11">
          <cell r="U11">
            <v>49109</v>
          </cell>
        </row>
        <row r="12">
          <cell r="U12">
            <v>0</v>
          </cell>
        </row>
        <row r="15">
          <cell r="U15">
            <v>4272882</v>
          </cell>
        </row>
        <row r="16">
          <cell r="U16">
            <v>1252632</v>
          </cell>
        </row>
        <row r="17">
          <cell r="U17">
            <v>0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635349</v>
          </cell>
        </row>
        <row r="33">
          <cell r="U33">
            <v>185879</v>
          </cell>
        </row>
        <row r="34">
          <cell r="U34">
            <v>369655</v>
          </cell>
        </row>
        <row r="35">
          <cell r="U35">
            <v>52109</v>
          </cell>
        </row>
        <row r="36">
          <cell r="U36">
            <v>2974963</v>
          </cell>
        </row>
        <row r="40">
          <cell r="U40">
            <v>100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8637</v>
          </cell>
        </row>
        <row r="44">
          <cell r="U44">
            <v>0</v>
          </cell>
        </row>
        <row r="47">
          <cell r="U47">
            <v>77623</v>
          </cell>
        </row>
        <row r="48">
          <cell r="U48">
            <v>0</v>
          </cell>
        </row>
        <row r="49">
          <cell r="U49">
            <v>45</v>
          </cell>
        </row>
        <row r="50">
          <cell r="U50">
            <v>0</v>
          </cell>
        </row>
        <row r="51">
          <cell r="U51">
            <v>0</v>
          </cell>
        </row>
        <row r="57">
          <cell r="U57">
            <v>243379</v>
          </cell>
        </row>
        <row r="58">
          <cell r="U58">
            <v>46285</v>
          </cell>
        </row>
        <row r="60">
          <cell r="U60">
            <v>324076</v>
          </cell>
        </row>
        <row r="61">
          <cell r="U61">
            <v>145326</v>
          </cell>
        </row>
        <row r="62">
          <cell r="U62">
            <v>760276</v>
          </cell>
        </row>
        <row r="65">
          <cell r="U65">
            <v>0</v>
          </cell>
        </row>
        <row r="66">
          <cell r="U66">
            <v>0</v>
          </cell>
        </row>
        <row r="67">
          <cell r="U67">
            <v>47473</v>
          </cell>
        </row>
        <row r="69">
          <cell r="U69">
            <v>3116</v>
          </cell>
        </row>
        <row r="70">
          <cell r="U70">
            <v>2730</v>
          </cell>
        </row>
        <row r="71">
          <cell r="U71">
            <v>0</v>
          </cell>
        </row>
        <row r="72">
          <cell r="U72">
            <v>27601</v>
          </cell>
        </row>
        <row r="73">
          <cell r="U73">
            <v>2142</v>
          </cell>
        </row>
        <row r="75">
          <cell r="U75">
            <v>2195693</v>
          </cell>
        </row>
        <row r="76">
          <cell r="U76">
            <v>69252</v>
          </cell>
        </row>
        <row r="77">
          <cell r="U77">
            <v>5395</v>
          </cell>
        </row>
        <row r="78">
          <cell r="U78">
            <v>243968</v>
          </cell>
        </row>
        <row r="81">
          <cell r="U81">
            <v>33471</v>
          </cell>
        </row>
        <row r="82">
          <cell r="U82">
            <v>0</v>
          </cell>
        </row>
        <row r="83">
          <cell r="U83">
            <v>79720</v>
          </cell>
        </row>
        <row r="84">
          <cell r="U84">
            <v>988931</v>
          </cell>
        </row>
        <row r="85">
          <cell r="U85">
            <v>532319</v>
          </cell>
        </row>
        <row r="87">
          <cell r="U87">
            <v>211710</v>
          </cell>
        </row>
        <row r="88">
          <cell r="U88">
            <v>155183</v>
          </cell>
        </row>
        <row r="94">
          <cell r="U94">
            <v>9295081</v>
          </cell>
        </row>
        <row r="95">
          <cell r="U95">
            <v>4556856</v>
          </cell>
        </row>
        <row r="96">
          <cell r="U96">
            <v>13851937</v>
          </cell>
        </row>
        <row r="99">
          <cell r="U99">
            <v>58433</v>
          </cell>
        </row>
        <row r="100">
          <cell r="U100">
            <v>131008</v>
          </cell>
        </row>
        <row r="101">
          <cell r="U101">
            <v>1357965</v>
          </cell>
        </row>
        <row r="102">
          <cell r="U102">
            <v>6</v>
          </cell>
        </row>
        <row r="103">
          <cell r="U103">
            <v>26527</v>
          </cell>
        </row>
        <row r="104">
          <cell r="U104">
            <v>49950</v>
          </cell>
        </row>
        <row r="105">
          <cell r="U105">
            <v>1424987</v>
          </cell>
        </row>
        <row r="106">
          <cell r="U106">
            <v>507400</v>
          </cell>
        </row>
        <row r="109">
          <cell r="U109">
            <v>20</v>
          </cell>
        </row>
        <row r="110">
          <cell r="U110">
            <v>16625</v>
          </cell>
        </row>
        <row r="111">
          <cell r="U111">
            <v>821649</v>
          </cell>
        </row>
        <row r="112">
          <cell r="U112">
            <v>13830</v>
          </cell>
        </row>
        <row r="113">
          <cell r="U113">
            <v>45841</v>
          </cell>
        </row>
        <row r="114">
          <cell r="U114">
            <v>4570</v>
          </cell>
        </row>
        <row r="115">
          <cell r="U115">
            <v>1229327</v>
          </cell>
        </row>
        <row r="116">
          <cell r="U116">
            <v>1477885</v>
          </cell>
        </row>
        <row r="119">
          <cell r="U119">
            <v>644693</v>
          </cell>
        </row>
        <row r="120">
          <cell r="U120">
            <v>124653</v>
          </cell>
        </row>
        <row r="121">
          <cell r="U121">
            <v>332848</v>
          </cell>
        </row>
        <row r="122">
          <cell r="U122">
            <v>8072</v>
          </cell>
        </row>
        <row r="123">
          <cell r="U123">
            <v>12987</v>
          </cell>
        </row>
        <row r="124">
          <cell r="U124">
            <v>48795</v>
          </cell>
        </row>
        <row r="125">
          <cell r="U125">
            <v>375961</v>
          </cell>
        </row>
        <row r="126">
          <cell r="U126">
            <v>581049</v>
          </cell>
        </row>
        <row r="129">
          <cell r="U129">
            <v>1448705</v>
          </cell>
        </row>
        <row r="130">
          <cell r="U130">
            <v>65223</v>
          </cell>
        </row>
        <row r="131">
          <cell r="U131">
            <v>394787</v>
          </cell>
        </row>
        <row r="132">
          <cell r="U132">
            <v>1973734</v>
          </cell>
        </row>
        <row r="133">
          <cell r="U133">
            <v>674407</v>
          </cell>
        </row>
        <row r="135">
          <cell r="U135">
            <v>0</v>
          </cell>
        </row>
        <row r="136">
          <cell r="U136">
            <v>270865</v>
          </cell>
        </row>
        <row r="138">
          <cell r="U138">
            <v>2004131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-2019"/>
      <sheetName val="2007-2014"/>
    </sheetNames>
    <sheetDataSet>
      <sheetData sheetId="0">
        <row r="7">
          <cell r="U7">
            <v>119</v>
          </cell>
        </row>
        <row r="8">
          <cell r="U8">
            <v>2694217</v>
          </cell>
        </row>
        <row r="10">
          <cell r="U10">
            <v>47861</v>
          </cell>
        </row>
        <row r="11">
          <cell r="U11">
            <v>0</v>
          </cell>
        </row>
        <row r="12">
          <cell r="U12">
            <v>0</v>
          </cell>
        </row>
        <row r="15">
          <cell r="U15">
            <v>2583519</v>
          </cell>
        </row>
        <row r="16">
          <cell r="U16">
            <v>62313</v>
          </cell>
        </row>
        <row r="17">
          <cell r="U17">
            <v>524</v>
          </cell>
        </row>
        <row r="18">
          <cell r="U18">
            <v>0</v>
          </cell>
        </row>
        <row r="19">
          <cell r="U19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2">
          <cell r="U32">
            <v>1</v>
          </cell>
        </row>
        <row r="33">
          <cell r="U33">
            <v>0</v>
          </cell>
        </row>
        <row r="34">
          <cell r="U34">
            <v>0</v>
          </cell>
        </row>
        <row r="35">
          <cell r="U35">
            <v>0</v>
          </cell>
        </row>
        <row r="36">
          <cell r="U36">
            <v>70013</v>
          </cell>
        </row>
        <row r="40">
          <cell r="U40">
            <v>0</v>
          </cell>
        </row>
        <row r="41">
          <cell r="U41">
            <v>0</v>
          </cell>
        </row>
        <row r="42">
          <cell r="U42">
            <v>0</v>
          </cell>
        </row>
        <row r="43">
          <cell r="U43">
            <v>44199</v>
          </cell>
        </row>
        <row r="44">
          <cell r="U44">
            <v>0</v>
          </cell>
        </row>
        <row r="47">
          <cell r="U47">
            <v>23510</v>
          </cell>
        </row>
        <row r="48">
          <cell r="U48">
            <v>6937</v>
          </cell>
        </row>
        <row r="49">
          <cell r="U49">
            <v>26619</v>
          </cell>
        </row>
        <row r="50">
          <cell r="U50">
            <v>0</v>
          </cell>
        </row>
        <row r="51">
          <cell r="U51">
            <v>0</v>
          </cell>
        </row>
        <row r="57">
          <cell r="U57">
            <v>0</v>
          </cell>
        </row>
        <row r="58">
          <cell r="U58">
            <v>0</v>
          </cell>
        </row>
        <row r="60">
          <cell r="U60">
            <v>0</v>
          </cell>
        </row>
        <row r="61">
          <cell r="U61">
            <v>0</v>
          </cell>
        </row>
        <row r="62">
          <cell r="U62">
            <v>0</v>
          </cell>
        </row>
        <row r="65">
          <cell r="U65">
            <v>0</v>
          </cell>
        </row>
        <row r="66">
          <cell r="U66">
            <v>0</v>
          </cell>
        </row>
        <row r="67">
          <cell r="U67">
            <v>0</v>
          </cell>
        </row>
        <row r="69">
          <cell r="U69">
            <v>0</v>
          </cell>
        </row>
        <row r="70">
          <cell r="U70">
            <v>0</v>
          </cell>
        </row>
        <row r="71">
          <cell r="U71">
            <v>0</v>
          </cell>
        </row>
        <row r="72">
          <cell r="U72">
            <v>570806</v>
          </cell>
        </row>
        <row r="73">
          <cell r="U73">
            <v>0</v>
          </cell>
        </row>
        <row r="75">
          <cell r="U75">
            <v>0</v>
          </cell>
        </row>
        <row r="76">
          <cell r="U76">
            <v>0</v>
          </cell>
        </row>
        <row r="77">
          <cell r="U77">
            <v>0</v>
          </cell>
        </row>
        <row r="78">
          <cell r="U78">
            <v>0</v>
          </cell>
        </row>
        <row r="81">
          <cell r="U81">
            <v>0</v>
          </cell>
        </row>
        <row r="82">
          <cell r="U82">
            <v>0</v>
          </cell>
        </row>
        <row r="83">
          <cell r="U83">
            <v>179433</v>
          </cell>
        </row>
        <row r="84">
          <cell r="U84">
            <v>0</v>
          </cell>
        </row>
        <row r="85">
          <cell r="U85">
            <v>0</v>
          </cell>
        </row>
        <row r="87">
          <cell r="U87">
            <v>11364</v>
          </cell>
        </row>
        <row r="88">
          <cell r="U88">
            <v>110103</v>
          </cell>
        </row>
        <row r="94">
          <cell r="U94">
            <v>2810933</v>
          </cell>
        </row>
        <row r="95">
          <cell r="U95">
            <v>403315</v>
          </cell>
        </row>
        <row r="96">
          <cell r="U96">
            <v>3214248</v>
          </cell>
        </row>
        <row r="99">
          <cell r="U99">
            <v>0</v>
          </cell>
        </row>
        <row r="100">
          <cell r="U100">
            <v>0</v>
          </cell>
        </row>
        <row r="101">
          <cell r="U101">
            <v>0</v>
          </cell>
        </row>
        <row r="102">
          <cell r="U102">
            <v>0</v>
          </cell>
        </row>
        <row r="103">
          <cell r="U103">
            <v>0</v>
          </cell>
        </row>
        <row r="104">
          <cell r="U104">
            <v>179</v>
          </cell>
        </row>
        <row r="105">
          <cell r="U105">
            <v>253801</v>
          </cell>
        </row>
        <row r="106">
          <cell r="U106">
            <v>0</v>
          </cell>
        </row>
        <row r="109">
          <cell r="U109">
            <v>0</v>
          </cell>
        </row>
        <row r="110">
          <cell r="U110">
            <v>0</v>
          </cell>
        </row>
        <row r="111">
          <cell r="U111">
            <v>0</v>
          </cell>
        </row>
        <row r="112">
          <cell r="U112">
            <v>0</v>
          </cell>
        </row>
        <row r="113">
          <cell r="U113">
            <v>0</v>
          </cell>
        </row>
        <row r="114">
          <cell r="U114">
            <v>0</v>
          </cell>
        </row>
        <row r="115">
          <cell r="U115">
            <v>2552389</v>
          </cell>
        </row>
        <row r="116">
          <cell r="U116">
            <v>0</v>
          </cell>
        </row>
        <row r="119">
          <cell r="U119">
            <v>0</v>
          </cell>
        </row>
        <row r="120">
          <cell r="U120">
            <v>0</v>
          </cell>
        </row>
        <row r="121">
          <cell r="U121">
            <v>0</v>
          </cell>
        </row>
        <row r="122">
          <cell r="U122">
            <v>0</v>
          </cell>
        </row>
        <row r="123">
          <cell r="U123">
            <v>0</v>
          </cell>
        </row>
        <row r="124">
          <cell r="U124">
            <v>0</v>
          </cell>
        </row>
        <row r="125">
          <cell r="U125">
            <v>4564</v>
          </cell>
        </row>
        <row r="126">
          <cell r="U126">
            <v>0</v>
          </cell>
        </row>
        <row r="129">
          <cell r="U129">
            <v>0</v>
          </cell>
        </row>
        <row r="130">
          <cell r="U130">
            <v>0</v>
          </cell>
        </row>
        <row r="131">
          <cell r="U131">
            <v>403152</v>
          </cell>
        </row>
        <row r="132">
          <cell r="U132">
            <v>0</v>
          </cell>
        </row>
        <row r="133">
          <cell r="U133">
            <v>163</v>
          </cell>
        </row>
        <row r="135">
          <cell r="U135">
            <v>0</v>
          </cell>
        </row>
        <row r="136">
          <cell r="U136">
            <v>118182</v>
          </cell>
        </row>
        <row r="138">
          <cell r="U138">
            <v>404891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- 2019"/>
      <sheetName val="2007 - 2014"/>
    </sheetNames>
    <sheetDataSet>
      <sheetData sheetId="0">
        <row r="7">
          <cell r="V7">
            <v>86465.69</v>
          </cell>
        </row>
        <row r="8">
          <cell r="V8">
            <v>4909838.3270000005</v>
          </cell>
        </row>
        <row r="10">
          <cell r="V10">
            <v>70393.394</v>
          </cell>
        </row>
        <row r="11">
          <cell r="V11">
            <v>56660.476000000002</v>
          </cell>
        </row>
        <row r="12">
          <cell r="V12">
            <v>0</v>
          </cell>
        </row>
        <row r="15">
          <cell r="V15">
            <v>3252302.8429999999</v>
          </cell>
        </row>
        <row r="16">
          <cell r="V16">
            <v>1530481.6140000001</v>
          </cell>
        </row>
        <row r="17">
          <cell r="V17">
            <v>0</v>
          </cell>
        </row>
        <row r="18">
          <cell r="V18">
            <v>0</v>
          </cell>
        </row>
        <row r="19">
          <cell r="V19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0</v>
          </cell>
        </row>
        <row r="29">
          <cell r="V29">
            <v>0</v>
          </cell>
        </row>
        <row r="32">
          <cell r="V32">
            <v>611026.45900000003</v>
          </cell>
        </row>
        <row r="33">
          <cell r="V33">
            <v>192498.42499999999</v>
          </cell>
        </row>
        <row r="34">
          <cell r="V34">
            <v>338728.49900000001</v>
          </cell>
        </row>
        <row r="35">
          <cell r="V35">
            <v>47060.828000000001</v>
          </cell>
        </row>
        <row r="36">
          <cell r="V36">
            <v>3116043.594</v>
          </cell>
        </row>
        <row r="40">
          <cell r="V40">
            <v>100</v>
          </cell>
        </row>
        <row r="41">
          <cell r="V41">
            <v>0</v>
          </cell>
        </row>
        <row r="42">
          <cell r="V42">
            <v>0</v>
          </cell>
        </row>
        <row r="43">
          <cell r="V43">
            <v>8637.6890000000003</v>
          </cell>
        </row>
        <row r="44">
          <cell r="V44">
            <v>0</v>
          </cell>
        </row>
        <row r="47">
          <cell r="V47">
            <v>77623</v>
          </cell>
        </row>
        <row r="48">
          <cell r="V48">
            <v>0</v>
          </cell>
        </row>
        <row r="49">
          <cell r="V49">
            <v>18.091999999999999</v>
          </cell>
        </row>
        <row r="50">
          <cell r="V50">
            <v>0</v>
          </cell>
        </row>
        <row r="51">
          <cell r="V51">
            <v>0</v>
          </cell>
        </row>
        <row r="57">
          <cell r="V57">
            <v>238297.57500000001</v>
          </cell>
        </row>
        <row r="58">
          <cell r="V58">
            <v>46476.716</v>
          </cell>
        </row>
        <row r="60">
          <cell r="V60">
            <v>284018.05699999997</v>
          </cell>
        </row>
        <row r="61">
          <cell r="V61">
            <v>140378.59899999999</v>
          </cell>
        </row>
        <row r="62">
          <cell r="V62">
            <v>783478.76199999999</v>
          </cell>
        </row>
        <row r="65">
          <cell r="V65">
            <v>0</v>
          </cell>
        </row>
        <row r="66">
          <cell r="V66">
            <v>31.411000000000001</v>
          </cell>
        </row>
        <row r="67">
          <cell r="V67">
            <v>0</v>
          </cell>
        </row>
        <row r="69">
          <cell r="V69">
            <v>3050.97</v>
          </cell>
        </row>
        <row r="70">
          <cell r="V70">
            <v>1861.653</v>
          </cell>
        </row>
        <row r="71">
          <cell r="V71">
            <v>8.5000000000000006E-2</v>
          </cell>
        </row>
        <row r="72">
          <cell r="V72">
            <v>27303.085999999999</v>
          </cell>
        </row>
        <row r="73">
          <cell r="V73">
            <v>2329.7020000000002</v>
          </cell>
        </row>
        <row r="75">
          <cell r="V75">
            <v>2265350.0389999999</v>
          </cell>
        </row>
        <row r="76">
          <cell r="V76">
            <v>70543.671000000002</v>
          </cell>
        </row>
        <row r="77">
          <cell r="V77">
            <v>4998.317</v>
          </cell>
        </row>
        <row r="78">
          <cell r="V78">
            <v>251403.465</v>
          </cell>
        </row>
        <row r="81">
          <cell r="V81">
            <v>35574.097000000002</v>
          </cell>
        </row>
        <row r="82">
          <cell r="V82">
            <v>60.043999999999997</v>
          </cell>
        </row>
        <row r="83">
          <cell r="V83">
            <v>79174.721000000005</v>
          </cell>
        </row>
        <row r="84">
          <cell r="V84">
            <v>688303.05700000003</v>
          </cell>
        </row>
        <row r="85">
          <cell r="V85">
            <v>535374.04799999995</v>
          </cell>
        </row>
        <row r="87">
          <cell r="V87">
            <v>210900.04199999999</v>
          </cell>
        </row>
        <row r="88">
          <cell r="V88">
            <v>165817.97</v>
          </cell>
        </row>
        <row r="94">
          <cell r="V94">
            <v>9630419.2880000006</v>
          </cell>
        </row>
        <row r="95">
          <cell r="V95">
            <v>3288671.59</v>
          </cell>
        </row>
        <row r="96">
          <cell r="V96">
            <v>12919090.878</v>
          </cell>
        </row>
        <row r="99">
          <cell r="V99">
            <v>64627.432999999997</v>
          </cell>
        </row>
        <row r="100">
          <cell r="V100">
            <v>129190.621</v>
          </cell>
        </row>
        <row r="101">
          <cell r="V101">
            <v>1430405.2560000001</v>
          </cell>
        </row>
        <row r="102">
          <cell r="V102">
            <v>6</v>
          </cell>
        </row>
        <row r="103">
          <cell r="V103">
            <v>28288.986000000001</v>
          </cell>
        </row>
        <row r="104">
          <cell r="V104">
            <v>50314.582999999999</v>
          </cell>
        </row>
        <row r="105">
          <cell r="V105">
            <v>1452910.6310000001</v>
          </cell>
        </row>
        <row r="106">
          <cell r="V106">
            <v>527610.43500000006</v>
          </cell>
        </row>
        <row r="109">
          <cell r="V109">
            <v>35.764000000000003</v>
          </cell>
        </row>
        <row r="110">
          <cell r="V110">
            <v>13489.563</v>
          </cell>
        </row>
        <row r="111">
          <cell r="V111">
            <v>908949.03399999999</v>
          </cell>
        </row>
        <row r="112">
          <cell r="V112">
            <v>13105.73</v>
          </cell>
        </row>
        <row r="113">
          <cell r="V113">
            <v>49194.885999999999</v>
          </cell>
        </row>
        <row r="114">
          <cell r="V114">
            <v>3772.8229999999999</v>
          </cell>
        </row>
        <row r="115">
          <cell r="V115">
            <v>1350096.0830000001</v>
          </cell>
        </row>
        <row r="116">
          <cell r="V116">
            <v>1504893.351</v>
          </cell>
        </row>
        <row r="119">
          <cell r="V119">
            <v>680171.14300000004</v>
          </cell>
        </row>
        <row r="120">
          <cell r="V120">
            <v>144072.60699999999</v>
          </cell>
        </row>
        <row r="121">
          <cell r="V121">
            <v>325672.87800000003</v>
          </cell>
        </row>
        <row r="122">
          <cell r="V122">
            <v>8101.5519999999997</v>
          </cell>
        </row>
        <row r="123">
          <cell r="V123">
            <v>12560.45</v>
          </cell>
        </row>
        <row r="124">
          <cell r="V124">
            <v>8433.9030000000002</v>
          </cell>
        </row>
        <row r="125">
          <cell r="V125">
            <v>366403.88400000002</v>
          </cell>
        </row>
        <row r="126">
          <cell r="V126">
            <v>558111.69200000004</v>
          </cell>
        </row>
        <row r="129">
          <cell r="V129">
            <v>1438386.9439999999</v>
          </cell>
        </row>
        <row r="130">
          <cell r="V130">
            <v>67972.587</v>
          </cell>
        </row>
        <row r="131">
          <cell r="V131">
            <v>458723.88900000002</v>
          </cell>
        </row>
        <row r="132">
          <cell r="V132">
            <v>659797.652</v>
          </cell>
        </row>
        <row r="133">
          <cell r="V133">
            <v>663790.51800000004</v>
          </cell>
        </row>
        <row r="135">
          <cell r="V135">
            <v>0</v>
          </cell>
        </row>
        <row r="136">
          <cell r="V136">
            <v>260296.413</v>
          </cell>
        </row>
        <row r="138">
          <cell r="V138">
            <v>2043379.398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-2019"/>
      <sheetName val="2007-2014"/>
    </sheetNames>
    <sheetDataSet>
      <sheetData sheetId="0">
        <row r="7">
          <cell r="V7">
            <v>119.041</v>
          </cell>
        </row>
        <row r="8">
          <cell r="V8">
            <v>4053729.5409999997</v>
          </cell>
        </row>
        <row r="10">
          <cell r="V10">
            <v>8554.6409999999996</v>
          </cell>
        </row>
        <row r="11">
          <cell r="V11">
            <v>0.245</v>
          </cell>
        </row>
        <row r="12">
          <cell r="V12">
            <v>0</v>
          </cell>
        </row>
        <row r="15">
          <cell r="V15">
            <v>4039791.0389999999</v>
          </cell>
        </row>
        <row r="16">
          <cell r="V16">
            <v>5294.616</v>
          </cell>
        </row>
        <row r="17">
          <cell r="V17">
            <v>89</v>
          </cell>
        </row>
        <row r="18">
          <cell r="V18">
            <v>0</v>
          </cell>
        </row>
        <row r="19">
          <cell r="V19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0</v>
          </cell>
        </row>
        <row r="29">
          <cell r="V29">
            <v>0</v>
          </cell>
        </row>
        <row r="32">
          <cell r="V32">
            <v>1.294</v>
          </cell>
        </row>
        <row r="33">
          <cell r="V33">
            <v>0</v>
          </cell>
        </row>
        <row r="34">
          <cell r="V34">
            <v>0</v>
          </cell>
        </row>
        <row r="35">
          <cell r="V35">
            <v>0</v>
          </cell>
        </row>
        <row r="36">
          <cell r="V36">
            <v>69992.192999999999</v>
          </cell>
        </row>
        <row r="40">
          <cell r="V40">
            <v>0</v>
          </cell>
        </row>
        <row r="41">
          <cell r="V41">
            <v>0</v>
          </cell>
        </row>
        <row r="42">
          <cell r="V42">
            <v>0</v>
          </cell>
        </row>
        <row r="43">
          <cell r="V43">
            <v>18745.348999999998</v>
          </cell>
        </row>
        <row r="44">
          <cell r="V44">
            <v>0</v>
          </cell>
        </row>
        <row r="47">
          <cell r="V47">
            <v>25152.935000000001</v>
          </cell>
        </row>
        <row r="48">
          <cell r="V48">
            <v>67468.073999999993</v>
          </cell>
        </row>
        <row r="49">
          <cell r="V49">
            <v>17273.657999999999</v>
          </cell>
        </row>
        <row r="50">
          <cell r="V50">
            <v>0</v>
          </cell>
        </row>
        <row r="51">
          <cell r="V51">
            <v>0</v>
          </cell>
        </row>
        <row r="57">
          <cell r="V57">
            <v>0</v>
          </cell>
        </row>
        <row r="58">
          <cell r="V58">
            <v>0</v>
          </cell>
        </row>
        <row r="60">
          <cell r="V60">
            <v>0</v>
          </cell>
        </row>
        <row r="61">
          <cell r="V61">
            <v>0</v>
          </cell>
        </row>
        <row r="62">
          <cell r="V62">
            <v>0</v>
          </cell>
        </row>
        <row r="65">
          <cell r="V65">
            <v>0</v>
          </cell>
        </row>
        <row r="66">
          <cell r="V66">
            <v>0</v>
          </cell>
        </row>
        <row r="67">
          <cell r="V67">
            <v>0</v>
          </cell>
        </row>
        <row r="69">
          <cell r="V69">
            <v>0</v>
          </cell>
        </row>
        <row r="70">
          <cell r="V70">
            <v>0</v>
          </cell>
        </row>
        <row r="71">
          <cell r="V71">
            <v>0</v>
          </cell>
        </row>
        <row r="72">
          <cell r="V72">
            <v>324131.36900000001</v>
          </cell>
        </row>
        <row r="73">
          <cell r="V73">
            <v>0</v>
          </cell>
        </row>
        <row r="75">
          <cell r="V75">
            <v>0</v>
          </cell>
        </row>
        <row r="76">
          <cell r="V76">
            <v>0</v>
          </cell>
        </row>
        <row r="77">
          <cell r="V77">
            <v>0</v>
          </cell>
        </row>
        <row r="78">
          <cell r="V78">
            <v>0</v>
          </cell>
        </row>
        <row r="81">
          <cell r="V81">
            <v>0</v>
          </cell>
        </row>
        <row r="82">
          <cell r="V82">
            <v>0</v>
          </cell>
        </row>
        <row r="83">
          <cell r="V83">
            <v>229037.109</v>
          </cell>
        </row>
        <row r="84">
          <cell r="V84">
            <v>0</v>
          </cell>
        </row>
        <row r="85">
          <cell r="V85">
            <v>0</v>
          </cell>
        </row>
        <row r="87">
          <cell r="V87">
            <v>10494.132</v>
          </cell>
        </row>
        <row r="88">
          <cell r="V88">
            <v>153196.56099999999</v>
          </cell>
        </row>
        <row r="94">
          <cell r="V94">
            <v>3786047.0700000003</v>
          </cell>
        </row>
        <row r="95">
          <cell r="V95">
            <v>616410.26699999999</v>
          </cell>
        </row>
        <row r="96">
          <cell r="V96">
            <v>4402457.3370000003</v>
          </cell>
        </row>
        <row r="99">
          <cell r="V99">
            <v>0</v>
          </cell>
        </row>
        <row r="100">
          <cell r="V100">
            <v>0</v>
          </cell>
        </row>
        <row r="101">
          <cell r="V101">
            <v>0</v>
          </cell>
        </row>
        <row r="102">
          <cell r="V102">
            <v>0</v>
          </cell>
        </row>
        <row r="103">
          <cell r="V103">
            <v>0</v>
          </cell>
        </row>
        <row r="104">
          <cell r="V104">
            <v>298.18</v>
          </cell>
        </row>
        <row r="105">
          <cell r="V105">
            <v>212767.557</v>
          </cell>
        </row>
        <row r="106">
          <cell r="V106">
            <v>0</v>
          </cell>
        </row>
        <row r="109">
          <cell r="V109">
            <v>0</v>
          </cell>
        </row>
        <row r="110">
          <cell r="V110">
            <v>0</v>
          </cell>
        </row>
        <row r="111">
          <cell r="V111">
            <v>0</v>
          </cell>
        </row>
        <row r="112">
          <cell r="V112">
            <v>0</v>
          </cell>
        </row>
        <row r="113">
          <cell r="V113">
            <v>0</v>
          </cell>
        </row>
        <row r="114">
          <cell r="V114">
            <v>0</v>
          </cell>
        </row>
        <row r="115">
          <cell r="V115">
            <v>3568417.5759999999</v>
          </cell>
        </row>
        <row r="116">
          <cell r="V116">
            <v>0</v>
          </cell>
        </row>
        <row r="119">
          <cell r="V119">
            <v>0</v>
          </cell>
        </row>
        <row r="120">
          <cell r="V120">
            <v>0</v>
          </cell>
        </row>
        <row r="121">
          <cell r="V121">
            <v>0</v>
          </cell>
        </row>
        <row r="122">
          <cell r="V122">
            <v>0</v>
          </cell>
        </row>
        <row r="123">
          <cell r="V123">
            <v>0</v>
          </cell>
        </row>
        <row r="124">
          <cell r="V124">
            <v>0</v>
          </cell>
        </row>
        <row r="125">
          <cell r="V125">
            <v>4563.7569999999996</v>
          </cell>
        </row>
        <row r="126">
          <cell r="V126">
            <v>0</v>
          </cell>
        </row>
        <row r="129">
          <cell r="V129">
            <v>0</v>
          </cell>
        </row>
        <row r="130">
          <cell r="V130">
            <v>0</v>
          </cell>
        </row>
        <row r="131">
          <cell r="V131">
            <v>614813.76500000001</v>
          </cell>
        </row>
        <row r="132">
          <cell r="V132">
            <v>0</v>
          </cell>
        </row>
        <row r="133">
          <cell r="V133">
            <v>1596.502</v>
          </cell>
        </row>
        <row r="135">
          <cell r="V135">
            <v>0</v>
          </cell>
        </row>
        <row r="136">
          <cell r="V136">
            <v>159638.97099999999</v>
          </cell>
        </row>
        <row r="138">
          <cell r="V138">
            <v>407244.94699999999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- 2019"/>
      <sheetName val="2007 - 2014"/>
    </sheetNames>
    <sheetDataSet>
      <sheetData sheetId="0" refreshError="1">
        <row r="7">
          <cell r="W7">
            <v>75622.723750000005</v>
          </cell>
        </row>
        <row r="8">
          <cell r="W8">
            <v>4708442.3073700005</v>
          </cell>
        </row>
        <row r="10">
          <cell r="W10">
            <v>79844.396439999997</v>
          </cell>
        </row>
        <row r="11">
          <cell r="W11">
            <v>25555.984</v>
          </cell>
        </row>
        <row r="12">
          <cell r="W12">
            <v>0</v>
          </cell>
        </row>
        <row r="15">
          <cell r="W15">
            <v>3165906.75489</v>
          </cell>
        </row>
        <row r="16">
          <cell r="W16">
            <v>1437135.1720400001</v>
          </cell>
        </row>
        <row r="17">
          <cell r="W17">
            <v>0</v>
          </cell>
        </row>
        <row r="18">
          <cell r="W18">
            <v>0</v>
          </cell>
        </row>
        <row r="19">
          <cell r="W19">
            <v>0</v>
          </cell>
        </row>
        <row r="23">
          <cell r="W23">
            <v>0</v>
          </cell>
        </row>
        <row r="24">
          <cell r="W24">
            <v>0</v>
          </cell>
        </row>
        <row r="25">
          <cell r="W25">
            <v>0</v>
          </cell>
        </row>
        <row r="26">
          <cell r="W26">
            <v>0</v>
          </cell>
        </row>
        <row r="27">
          <cell r="W27">
            <v>0</v>
          </cell>
        </row>
        <row r="28">
          <cell r="W28">
            <v>0</v>
          </cell>
        </row>
        <row r="29">
          <cell r="W29">
            <v>0</v>
          </cell>
        </row>
        <row r="32">
          <cell r="W32">
            <v>619889.68400000001</v>
          </cell>
        </row>
        <row r="33">
          <cell r="W33">
            <v>224814.09954</v>
          </cell>
        </row>
        <row r="34">
          <cell r="W34">
            <v>353016.98189</v>
          </cell>
        </row>
        <row r="35">
          <cell r="W35">
            <v>45689.833980000003</v>
          </cell>
        </row>
        <row r="36">
          <cell r="W36">
            <v>3285807.0867300001</v>
          </cell>
        </row>
        <row r="40">
          <cell r="W40">
            <v>100</v>
          </cell>
        </row>
        <row r="41">
          <cell r="W41">
            <v>0</v>
          </cell>
        </row>
        <row r="42">
          <cell r="W42">
            <v>0</v>
          </cell>
        </row>
        <row r="43">
          <cell r="W43">
            <v>8439.6894300000004</v>
          </cell>
        </row>
        <row r="44">
          <cell r="W44">
            <v>0</v>
          </cell>
        </row>
        <row r="47">
          <cell r="W47">
            <v>77623</v>
          </cell>
        </row>
        <row r="48">
          <cell r="W48">
            <v>0</v>
          </cell>
        </row>
        <row r="49">
          <cell r="W49">
            <v>18.09188</v>
          </cell>
        </row>
        <row r="50">
          <cell r="W50">
            <v>0</v>
          </cell>
        </row>
        <row r="51">
          <cell r="W51">
            <v>0</v>
          </cell>
        </row>
        <row r="57">
          <cell r="W57">
            <v>224447.88380000001</v>
          </cell>
        </row>
        <row r="58">
          <cell r="W58">
            <v>44949.678999999996</v>
          </cell>
        </row>
        <row r="60">
          <cell r="W60">
            <v>283600.53483000002</v>
          </cell>
        </row>
        <row r="61">
          <cell r="W61">
            <v>139006.89024000001</v>
          </cell>
        </row>
        <row r="62">
          <cell r="W62">
            <v>822149.42483999999</v>
          </cell>
        </row>
        <row r="65">
          <cell r="W65">
            <v>0</v>
          </cell>
        </row>
        <row r="66">
          <cell r="W66">
            <v>0.78017999999999998</v>
          </cell>
        </row>
        <row r="67">
          <cell r="W67">
            <v>0</v>
          </cell>
        </row>
        <row r="69">
          <cell r="W69">
            <v>2978.61796</v>
          </cell>
        </row>
        <row r="70">
          <cell r="W70">
            <v>1873.1690000000001</v>
          </cell>
        </row>
        <row r="71">
          <cell r="W71">
            <v>0</v>
          </cell>
        </row>
        <row r="72">
          <cell r="W72">
            <v>11025.8992</v>
          </cell>
        </row>
        <row r="73">
          <cell r="W73">
            <v>3137.95127</v>
          </cell>
        </row>
        <row r="75">
          <cell r="W75">
            <v>2297295.3122899998</v>
          </cell>
        </row>
        <row r="76">
          <cell r="W76">
            <v>69149.236690000005</v>
          </cell>
        </row>
        <row r="77">
          <cell r="W77">
            <v>4761.1808000000001</v>
          </cell>
        </row>
        <row r="78">
          <cell r="W78">
            <v>252041.78782</v>
          </cell>
        </row>
        <row r="81">
          <cell r="W81">
            <v>35853.096669999999</v>
          </cell>
        </row>
        <row r="82">
          <cell r="W82">
            <v>0</v>
          </cell>
        </row>
        <row r="83">
          <cell r="W83">
            <v>77982.196679999994</v>
          </cell>
        </row>
        <row r="84">
          <cell r="W84">
            <v>669032.90157999995</v>
          </cell>
        </row>
        <row r="85">
          <cell r="W85">
            <v>536430.92180999997</v>
          </cell>
        </row>
        <row r="87">
          <cell r="W87">
            <v>207521.37903000001</v>
          </cell>
        </row>
        <row r="88">
          <cell r="W88">
            <v>204217.58645</v>
          </cell>
        </row>
        <row r="94">
          <cell r="W94">
            <v>9874292.9907900002</v>
          </cell>
        </row>
        <row r="95">
          <cell r="W95">
            <v>3278240.7900999999</v>
          </cell>
        </row>
        <row r="96">
          <cell r="W96">
            <v>13152533.780889999</v>
          </cell>
        </row>
        <row r="99">
          <cell r="W99">
            <v>41048.390339999998</v>
          </cell>
        </row>
        <row r="100">
          <cell r="W100">
            <v>122928.67402000001</v>
          </cell>
        </row>
        <row r="101">
          <cell r="W101">
            <v>1548348.02202</v>
          </cell>
        </row>
        <row r="102">
          <cell r="W102">
            <v>6</v>
          </cell>
        </row>
        <row r="103">
          <cell r="W103">
            <v>53028.853109999996</v>
          </cell>
        </row>
        <row r="104">
          <cell r="W104">
            <v>51796.080860000002</v>
          </cell>
        </row>
        <row r="105">
          <cell r="W105">
            <v>1412527.4792800001</v>
          </cell>
        </row>
        <row r="106">
          <cell r="W106">
            <v>576099.09274999995</v>
          </cell>
        </row>
        <row r="109">
          <cell r="W109">
            <v>49.455159999999999</v>
          </cell>
        </row>
        <row r="110">
          <cell r="W110">
            <v>13475.305899999999</v>
          </cell>
        </row>
        <row r="111">
          <cell r="W111">
            <v>1015990.92696</v>
          </cell>
        </row>
        <row r="112">
          <cell r="W112">
            <v>18102.774000000001</v>
          </cell>
        </row>
        <row r="113">
          <cell r="W113">
            <v>54265.157149999999</v>
          </cell>
        </row>
        <row r="114">
          <cell r="W114">
            <v>4690.5400499999996</v>
          </cell>
        </row>
        <row r="115">
          <cell r="W115">
            <v>1199672.07782</v>
          </cell>
        </row>
        <row r="116">
          <cell r="W116">
            <v>1528643.7861599999</v>
          </cell>
        </row>
        <row r="119">
          <cell r="W119">
            <v>762467.59933</v>
          </cell>
        </row>
        <row r="120">
          <cell r="W120">
            <v>153766.02390999999</v>
          </cell>
        </row>
        <row r="121">
          <cell r="W121">
            <v>420080.42358</v>
          </cell>
        </row>
        <row r="122">
          <cell r="W122">
            <v>8101.5519999999997</v>
          </cell>
        </row>
        <row r="123">
          <cell r="W123">
            <v>23124.436820000003</v>
          </cell>
        </row>
        <row r="124">
          <cell r="W124">
            <v>8252.7124600000006</v>
          </cell>
        </row>
        <row r="125">
          <cell r="W125">
            <v>327113.20004999998</v>
          </cell>
        </row>
        <row r="126">
          <cell r="W126">
            <v>530714.42706000002</v>
          </cell>
        </row>
        <row r="129">
          <cell r="W129">
            <v>1340277.08201</v>
          </cell>
        </row>
        <row r="130">
          <cell r="W130">
            <v>73102.866120000006</v>
          </cell>
        </row>
        <row r="131">
          <cell r="W131">
            <v>492022.13559999998</v>
          </cell>
        </row>
        <row r="132">
          <cell r="W132">
            <v>695881.32585000002</v>
          </cell>
        </row>
        <row r="133">
          <cell r="W133">
            <v>676957.38052000001</v>
          </cell>
        </row>
        <row r="135">
          <cell r="W135">
            <v>0</v>
          </cell>
        </row>
        <row r="136">
          <cell r="W136">
            <v>309208.05531000003</v>
          </cell>
        </row>
        <row r="138">
          <cell r="W138">
            <v>1825178.0925099999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142"/>
  <sheetViews>
    <sheetView showGridLines="0" tabSelected="1" zoomScaleNormal="100" workbookViewId="0">
      <pane xSplit="2" topLeftCell="O1" activePane="topRight" state="frozen"/>
      <selection pane="topRight" activeCell="AB1" sqref="AB1"/>
    </sheetView>
  </sheetViews>
  <sheetFormatPr defaultColWidth="13" defaultRowHeight="15.95" customHeight="1" x14ac:dyDescent="0.15"/>
  <cols>
    <col min="1" max="1" width="3.7109375" style="1" customWidth="1"/>
    <col min="2" max="2" width="64.5703125" style="2" customWidth="1"/>
    <col min="3" max="26" width="13.5703125" style="2" customWidth="1"/>
    <col min="27" max="16384" width="13" style="2"/>
  </cols>
  <sheetData>
    <row r="1" spans="1:27" ht="44.1" customHeight="1" x14ac:dyDescent="0.15"/>
    <row r="2" spans="1:27" ht="24" customHeight="1" thickBot="1" x14ac:dyDescent="0.2"/>
    <row r="3" spans="1:27" ht="15.95" customHeight="1" thickBot="1" x14ac:dyDescent="0.2">
      <c r="B3" s="152" t="s">
        <v>95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4"/>
    </row>
    <row r="4" spans="1:27" ht="12" customHeight="1" thickBot="1" x14ac:dyDescent="0.2"/>
    <row r="5" spans="1:27" ht="18.95" customHeight="1" thickBot="1" x14ac:dyDescent="0.25">
      <c r="B5" s="149" t="s">
        <v>26</v>
      </c>
      <c r="C5" s="148" t="s">
        <v>98</v>
      </c>
      <c r="D5" s="148" t="s">
        <v>99</v>
      </c>
      <c r="E5" s="148" t="s">
        <v>100</v>
      </c>
      <c r="F5" s="148" t="s">
        <v>101</v>
      </c>
      <c r="G5" s="148" t="s">
        <v>102</v>
      </c>
      <c r="H5" s="148" t="s">
        <v>103</v>
      </c>
      <c r="I5" s="148" t="s">
        <v>104</v>
      </c>
      <c r="J5" s="148" t="s">
        <v>105</v>
      </c>
      <c r="K5" s="148" t="s">
        <v>106</v>
      </c>
      <c r="L5" s="148" t="s">
        <v>107</v>
      </c>
      <c r="M5" s="148" t="s">
        <v>108</v>
      </c>
      <c r="N5" s="148" t="s">
        <v>109</v>
      </c>
      <c r="O5" s="148" t="s">
        <v>110</v>
      </c>
      <c r="P5" s="148" t="s">
        <v>111</v>
      </c>
      <c r="Q5" s="148" t="s">
        <v>112</v>
      </c>
      <c r="R5" s="148" t="s">
        <v>113</v>
      </c>
      <c r="S5" s="148" t="s">
        <v>114</v>
      </c>
      <c r="T5" s="148" t="s">
        <v>115</v>
      </c>
      <c r="U5" s="148" t="s">
        <v>116</v>
      </c>
      <c r="V5" s="148" t="s">
        <v>117</v>
      </c>
      <c r="W5" s="148" t="s">
        <v>118</v>
      </c>
      <c r="X5" s="148" t="s">
        <v>119</v>
      </c>
      <c r="Y5" s="148" t="s">
        <v>120</v>
      </c>
      <c r="Z5" s="148" t="s">
        <v>121</v>
      </c>
      <c r="AA5" s="132" t="s">
        <v>122</v>
      </c>
    </row>
    <row r="6" spans="1:27" ht="19.5" customHeight="1" x14ac:dyDescent="0.2">
      <c r="A6" s="4">
        <v>1</v>
      </c>
      <c r="B6" s="5" t="s">
        <v>34</v>
      </c>
    </row>
    <row r="7" spans="1:27" ht="15.95" customHeight="1" x14ac:dyDescent="0.15">
      <c r="B7" s="7" t="s">
        <v>85</v>
      </c>
      <c r="C7" s="19">
        <f>'[1]2015 - 2019'!S7+'[2]2015-2019'!S7</f>
        <v>111123</v>
      </c>
      <c r="D7" s="19">
        <f>'[3]2015 - 2019'!T7+'[4]2015-2019'!T7</f>
        <v>79722</v>
      </c>
      <c r="E7" s="19">
        <f>'[5]2015 - 2019'!U7+'[6]2015-2019'!U7</f>
        <v>73685</v>
      </c>
      <c r="F7" s="19">
        <f>'[7]2015 - 2019'!V7+'[8]2015-2019'!V7</f>
        <v>86584.731</v>
      </c>
      <c r="G7" s="19">
        <f>'[9]2015 - 2019'!W7+'[10]2016-2021'!W7</f>
        <v>75741.524750000011</v>
      </c>
      <c r="H7" s="19">
        <f>'[11]2016 - 2021'!X7+'[12]2016-2021'!X7</f>
        <v>83916.54127999999</v>
      </c>
      <c r="I7" s="19">
        <f>'[13]2016 - 2021'!Y7+'[14]2016-2021'!Y7</f>
        <v>78632.282489999998</v>
      </c>
      <c r="J7" s="19">
        <f>'[15]2016 - 2021'!Z7+'[16]2016-2021'!Z7</f>
        <v>84197.319560000004</v>
      </c>
      <c r="K7" s="19">
        <f>'[17]2018 - 2022'!S7+'[18]2018-2022'!S7</f>
        <v>87916.272769999996</v>
      </c>
      <c r="L7" s="19">
        <f>'[19]2018 - 2022'!T7+'[20]2018-2022'!T7</f>
        <v>87773.914339999988</v>
      </c>
      <c r="M7" s="19">
        <f>'[21]2018 - 2022'!U7+'[22]2018-2022'!U7</f>
        <v>82982.121320000006</v>
      </c>
      <c r="N7" s="19">
        <f>'[23]2018 - 2023'!V7+'[24]2018-2023'!V7</f>
        <v>93422.370540000004</v>
      </c>
      <c r="O7" s="19">
        <f>'[23]2018 - 2023'!W7+'[24]2018-2023'!W7</f>
        <v>83318.912080000009</v>
      </c>
      <c r="P7" s="19">
        <f>'[25]2018 - 2023'!X7+'[26]2018-2023'!X7</f>
        <v>85116.574489999999</v>
      </c>
      <c r="Q7" s="19">
        <f>'[27]2018 - 2023'!Y7+'[28]2018-2023'!Y7</f>
        <v>80147.84014</v>
      </c>
      <c r="R7" s="19">
        <f>'[29]2018 - 2023'!Z7+'[30]2018-2023'!Z7</f>
        <v>93722.461859999996</v>
      </c>
      <c r="S7" s="19">
        <f>'[31]2020 - 2024'!S7+'[32]2020-2024'!S7</f>
        <v>93747.244340000005</v>
      </c>
      <c r="T7" s="19">
        <f>'[33]2020 - 2024'!T7+'[34]2020-2024'!T7</f>
        <v>92670.408739999999</v>
      </c>
      <c r="U7" s="19">
        <f>'[35]2020 - 2024'!U7+'[36]2020-2024'!U7</f>
        <v>81998.070510000005</v>
      </c>
      <c r="V7" s="19">
        <f>'[37]2020 - 2024'!V7+'[38]2020-2024'!V7</f>
        <v>102651.13782</v>
      </c>
      <c r="W7" s="19">
        <f>'[39]2020 - 2025'!W7+'[40]2020-2025'!W7</f>
        <v>88128.174019999991</v>
      </c>
      <c r="X7" s="19">
        <f>'[41]2020 - 2025'!X7+'[42]2020-2025'!X7</f>
        <v>76422.48315</v>
      </c>
      <c r="Y7" s="19">
        <f>'[43]2020 - 2025'!Y7+'[44]2020-2025'!Y7</f>
        <v>73894.547490000012</v>
      </c>
      <c r="Z7" s="19">
        <f>'[45]2020 - 2025'!Z7+'[46]2020-2025'!Z7</f>
        <v>87252.804150000011</v>
      </c>
      <c r="AA7" s="19">
        <f>'[47]2020 - 2026'!AA7+'[48]2020-2026'!AA7</f>
        <v>78738.57028</v>
      </c>
    </row>
    <row r="8" spans="1:27" ht="15.95" customHeight="1" x14ac:dyDescent="0.15">
      <c r="B8" s="9" t="s">
        <v>35</v>
      </c>
      <c r="C8" s="19">
        <f>'[1]2015 - 2019'!S8+'[2]2015-2019'!S8</f>
        <v>8392524</v>
      </c>
      <c r="D8" s="19">
        <f>'[3]2015 - 2019'!T8+'[4]2015-2019'!T8</f>
        <v>6824292</v>
      </c>
      <c r="E8" s="19">
        <f>'[5]2015 - 2019'!U8+'[6]2015-2019'!U8</f>
        <v>8325178</v>
      </c>
      <c r="F8" s="19">
        <f>'[7]2015 - 2019'!V8+'[8]2015-2019'!V8</f>
        <v>8963567.8680000007</v>
      </c>
      <c r="G8" s="19">
        <f>'[9]2015 - 2019'!W8+'[10]2016-2021'!W8</f>
        <v>8727631.7376899999</v>
      </c>
      <c r="H8" s="19">
        <f>'[11]2016 - 2021'!X8+'[12]2016-2021'!X8</f>
        <v>9949099.0049200021</v>
      </c>
      <c r="I8" s="19">
        <f>'[13]2016 - 2021'!Y8+'[14]2016-2021'!Y8</f>
        <v>10030973.909820002</v>
      </c>
      <c r="J8" s="19">
        <f>'[15]2016 - 2021'!Z8+'[16]2016-2021'!Z8</f>
        <v>8908858.5656600017</v>
      </c>
      <c r="K8" s="19">
        <f>'[17]2018 - 2022'!S8+'[18]2018-2022'!S8</f>
        <v>10184166.210269999</v>
      </c>
      <c r="L8" s="19">
        <f>'[19]2018 - 2022'!T8+'[20]2018-2022'!T8</f>
        <v>8663548.9534099996</v>
      </c>
      <c r="M8" s="19">
        <f>'[21]2018 - 2022'!U8+'[22]2018-2022'!U8</f>
        <v>7969411.0794399995</v>
      </c>
      <c r="N8" s="19">
        <f>'[23]2018 - 2023'!V8+'[24]2018-2023'!V8</f>
        <v>7647887.4517099997</v>
      </c>
      <c r="O8" s="19">
        <f>'[23]2018 - 2023'!W8+'[24]2018-2023'!W8</f>
        <v>8328735.0328599997</v>
      </c>
      <c r="P8" s="19">
        <f>'[25]2018 - 2023'!X8+'[26]2018-2023'!X8</f>
        <v>7609476.4042100003</v>
      </c>
      <c r="Q8" s="19">
        <f>'[27]2018 - 2023'!Y8+'[28]2018-2023'!Y8</f>
        <v>9174304.8518599998</v>
      </c>
      <c r="R8" s="19">
        <f>'[29]2018 - 2023'!Z8+'[30]2018-2023'!Z8</f>
        <v>7578625.1655299999</v>
      </c>
      <c r="S8" s="19">
        <f>'[31]2020 - 2024'!S8+'[32]2020-2024'!S8</f>
        <v>7468508.96961</v>
      </c>
      <c r="T8" s="19">
        <f>'[33]2020 - 2024'!T8+'[34]2020-2024'!T8</f>
        <v>7190636.0148799997</v>
      </c>
      <c r="U8" s="19">
        <f>'[35]2020 - 2024'!U8+'[36]2020-2024'!U8</f>
        <v>8989621.7067399994</v>
      </c>
      <c r="V8" s="19">
        <f>'[37]2020 - 2024'!V8+'[38]2020-2024'!V8</f>
        <v>7913394.4783000005</v>
      </c>
      <c r="W8" s="19">
        <f>'[39]2020 - 2025'!W8+'[40]2020-2025'!W8</f>
        <v>8498061.4367299993</v>
      </c>
      <c r="X8" s="19">
        <f>'[41]2020 - 2025'!X8+'[42]2020-2025'!X8</f>
        <v>8802430.0185500011</v>
      </c>
      <c r="Y8" s="19">
        <f>'[43]2020 - 2025'!Y8+'[44]2020-2025'!Y8</f>
        <v>7570495.1578799989</v>
      </c>
      <c r="Z8" s="19">
        <f>'[45]2020 - 2025'!Z8+'[46]2020-2025'!Z8</f>
        <v>7217787.7121799998</v>
      </c>
      <c r="AA8" s="19">
        <f>'[47]2020 - 2026'!AA8+'[48]2020-2026'!AA8</f>
        <v>7509498.0371300001</v>
      </c>
    </row>
    <row r="9" spans="1:27" ht="15.95" customHeight="1" x14ac:dyDescent="0.15">
      <c r="B9" s="10" t="s">
        <v>36</v>
      </c>
      <c r="C9" s="19">
        <f t="shared" ref="C9:D9" si="0">C10+C11+C12</f>
        <v>217453</v>
      </c>
      <c r="D9" s="19">
        <f t="shared" si="0"/>
        <v>144490</v>
      </c>
      <c r="E9" s="19">
        <f t="shared" ref="E9:F9" si="1">E10+E11+E12</f>
        <v>153308</v>
      </c>
      <c r="F9" s="19">
        <f t="shared" si="1"/>
        <v>135608.75599999999</v>
      </c>
      <c r="G9" s="19">
        <f t="shared" ref="G9:H9" si="2">G10+G11+G12</f>
        <v>112852.46544</v>
      </c>
      <c r="H9" s="19">
        <f t="shared" si="2"/>
        <v>122445.55776</v>
      </c>
      <c r="I9" s="19">
        <f t="shared" ref="I9:J9" si="3">I10+I11+I12</f>
        <v>83310.961249999993</v>
      </c>
      <c r="J9" s="19">
        <f t="shared" si="3"/>
        <v>141131.89032000001</v>
      </c>
      <c r="K9" s="19">
        <f t="shared" ref="K9:L9" si="4">K10+K11+K12</f>
        <v>129502.42284</v>
      </c>
      <c r="L9" s="19">
        <f t="shared" si="4"/>
        <v>119447.29466</v>
      </c>
      <c r="M9" s="19">
        <f t="shared" ref="M9" si="5">M10+M11+M12</f>
        <v>63850.300969999997</v>
      </c>
      <c r="N9" s="19">
        <f t="shared" ref="N9:O9" si="6">N10+N11+N12</f>
        <v>120929.90669</v>
      </c>
      <c r="O9" s="19">
        <f t="shared" si="6"/>
        <v>173835.70269999999</v>
      </c>
      <c r="P9" s="19">
        <f t="shared" ref="P9:Q9" si="7">P10+P11+P12</f>
        <v>141548.86601000003</v>
      </c>
      <c r="Q9" s="19">
        <f t="shared" si="7"/>
        <v>262092.25774999999</v>
      </c>
      <c r="R9" s="19">
        <f t="shared" ref="R9:S9" si="8">R10+R11+R12</f>
        <v>218429.52608000001</v>
      </c>
      <c r="S9" s="19">
        <f t="shared" si="8"/>
        <v>244446.71876999998</v>
      </c>
      <c r="T9" s="19">
        <f t="shared" ref="T9:U9" si="9">T10+T11+T12</f>
        <v>114265.37755</v>
      </c>
      <c r="U9" s="19">
        <f t="shared" si="9"/>
        <v>99995.843549999991</v>
      </c>
      <c r="V9" s="19">
        <f t="shared" ref="V9" si="10">V10+V11+V12</f>
        <v>170920.44896000001</v>
      </c>
      <c r="W9" s="19">
        <f>'[39]2020 - 2025'!W9+'[40]2020-2025'!W9</f>
        <v>189165.66758000001</v>
      </c>
      <c r="X9" s="19">
        <f>'[41]2020 - 2025'!X9+'[42]2020-2025'!X9</f>
        <v>188594.04493999999</v>
      </c>
      <c r="Y9" s="19">
        <f>'[43]2020 - 2025'!Y9+'[44]2020-2025'!Y9</f>
        <v>208723.58434</v>
      </c>
      <c r="Z9" s="19">
        <f>'[45]2020 - 2025'!Z9+'[46]2020-2025'!Z9</f>
        <v>232248.05851999999</v>
      </c>
      <c r="AA9" s="19">
        <f>'[47]2020 - 2026'!AA9+'[48]2020-2026'!AA9</f>
        <v>267462.22193</v>
      </c>
    </row>
    <row r="10" spans="1:27" ht="15" customHeight="1" x14ac:dyDescent="0.15">
      <c r="B10" s="12" t="s">
        <v>45</v>
      </c>
      <c r="C10" s="32">
        <f>'[1]2015 - 2019'!S10+'[2]2015-2019'!S10</f>
        <v>47606</v>
      </c>
      <c r="D10" s="32">
        <f>'[3]2015 - 2019'!T10+'[4]2015-2019'!T10</f>
        <v>81027</v>
      </c>
      <c r="E10" s="32">
        <f>'[5]2015 - 2019'!U10+'[6]2015-2019'!U10</f>
        <v>104199</v>
      </c>
      <c r="F10" s="32">
        <f>'[7]2015 - 2019'!V10+'[8]2015-2019'!V10</f>
        <v>78948.035000000003</v>
      </c>
      <c r="G10" s="32">
        <f>'[9]2015 - 2019'!W10+'[10]2016-2021'!W10</f>
        <v>87296.226439999999</v>
      </c>
      <c r="H10" s="32">
        <f>'[11]2016 - 2021'!X10+'[12]2016-2021'!X10</f>
        <v>95193.910759999999</v>
      </c>
      <c r="I10" s="32">
        <f>'[13]2016 - 2021'!Y10+'[14]2016-2021'!Y10</f>
        <v>53502.19025</v>
      </c>
      <c r="J10" s="32">
        <f>'[15]2016 - 2021'!Z10+'[16]2016-2021'!Z10</f>
        <v>70973.82931999999</v>
      </c>
      <c r="K10" s="32">
        <f>'[17]2018 - 2022'!S10+'[18]2018-2022'!S10</f>
        <v>61529.775840000002</v>
      </c>
      <c r="L10" s="32">
        <f>'[19]2018 - 2022'!T10+'[20]2018-2022'!T10</f>
        <v>73083.934659999999</v>
      </c>
      <c r="M10" s="32">
        <f>'[21]2018 - 2022'!U10+'[22]2018-2022'!U10</f>
        <v>26016.996969999997</v>
      </c>
      <c r="N10" s="32">
        <f>'[23]2018 - 2023'!V10+'[24]2018-2023'!V10</f>
        <v>54285.333689999999</v>
      </c>
      <c r="O10" s="32">
        <f>'[23]2018 - 2023'!W10+'[24]2018-2023'!W10</f>
        <v>110792.48269999999</v>
      </c>
      <c r="P10" s="32">
        <f>'[25]2018 - 2023'!X10+'[26]2018-2023'!X10</f>
        <v>92620.663690000001</v>
      </c>
      <c r="Q10" s="32">
        <f>'[27]2018 - 2023'!Y10+'[28]2018-2023'!Y10</f>
        <v>74082.410629999998</v>
      </c>
      <c r="R10" s="32">
        <f>'[29]2018 - 2023'!Z10+'[30]2018-2023'!Z10</f>
        <v>130638.63157</v>
      </c>
      <c r="S10" s="32">
        <f>'[31]2020 - 2024'!S10+'[32]2020-2024'!S10</f>
        <v>99539.71845</v>
      </c>
      <c r="T10" s="32">
        <f>'[33]2020 - 2024'!T10+'[34]2020-2024'!T10</f>
        <v>110138.31242</v>
      </c>
      <c r="U10" s="32">
        <f>'[35]2020 - 2024'!U10+'[36]2020-2024'!U10</f>
        <v>89731.196939999994</v>
      </c>
      <c r="V10" s="32">
        <f>'[37]2020 - 2024'!V10+'[38]2020-2024'!V10</f>
        <v>85440.788010000004</v>
      </c>
      <c r="W10" s="32">
        <f>'[39]2020 - 2025'!W10+'[40]2020-2025'!W10</f>
        <v>87976.077380000002</v>
      </c>
      <c r="X10" s="32">
        <f>'[41]2020 - 2025'!X10+'[42]2020-2025'!X10</f>
        <v>88790.583979999996</v>
      </c>
      <c r="Y10" s="32">
        <f>'[43]2020 - 2025'!Y10+'[44]2020-2025'!Y10</f>
        <v>74104.838860000003</v>
      </c>
      <c r="Z10" s="32">
        <f>'[45]2020 - 2025'!Z10+'[46]2020-2025'!Z10</f>
        <v>54458.328569999998</v>
      </c>
      <c r="AA10" s="32">
        <f>'[47]2020 - 2026'!AA10+'[48]2020-2026'!AA10</f>
        <v>77651.586949999997</v>
      </c>
    </row>
    <row r="11" spans="1:27" ht="15" customHeight="1" x14ac:dyDescent="0.15">
      <c r="B11" s="12" t="s">
        <v>44</v>
      </c>
      <c r="C11" s="32">
        <f>'[1]2015 - 2019'!S11+'[2]2015-2019'!S11</f>
        <v>169847</v>
      </c>
      <c r="D11" s="32">
        <f>'[3]2015 - 2019'!T11+'[4]2015-2019'!T11</f>
        <v>63463</v>
      </c>
      <c r="E11" s="32">
        <f>'[5]2015 - 2019'!U11+'[6]2015-2019'!U11</f>
        <v>49109</v>
      </c>
      <c r="F11" s="32">
        <f>'[7]2015 - 2019'!V11+'[8]2015-2019'!V11</f>
        <v>56660.721000000005</v>
      </c>
      <c r="G11" s="32">
        <f>'[9]2015 - 2019'!W11+'[10]2016-2021'!W11</f>
        <v>25556.239000000001</v>
      </c>
      <c r="H11" s="32">
        <f>'[11]2016 - 2021'!X11+'[12]2016-2021'!X11</f>
        <v>27251.647000000001</v>
      </c>
      <c r="I11" s="32">
        <f>'[13]2016 - 2021'!Y11+'[14]2016-2021'!Y11</f>
        <v>29808.771000000001</v>
      </c>
      <c r="J11" s="32">
        <f>'[15]2016 - 2021'!Z11+'[16]2016-2021'!Z11</f>
        <v>70158.061000000002</v>
      </c>
      <c r="K11" s="32">
        <f>'[17]2018 - 2022'!S11+'[18]2018-2022'!S11</f>
        <v>67972.646999999997</v>
      </c>
      <c r="L11" s="32">
        <f>'[19]2018 - 2022'!T11+'[20]2018-2022'!T11</f>
        <v>46363.360000000001</v>
      </c>
      <c r="M11" s="32">
        <f>'[21]2018 - 2022'!U11+'[22]2018-2022'!U11</f>
        <v>37833.303999999996</v>
      </c>
      <c r="N11" s="32">
        <f>'[23]2018 - 2023'!V11+'[24]2018-2023'!V11</f>
        <v>66644.573000000004</v>
      </c>
      <c r="O11" s="32">
        <f>'[23]2018 - 2023'!W11+'[24]2018-2023'!W11</f>
        <v>63043.22</v>
      </c>
      <c r="P11" s="32">
        <f>'[25]2018 - 2023'!X11+'[26]2018-2023'!X11</f>
        <v>45926.375</v>
      </c>
      <c r="Q11" s="32">
        <f>'[27]2018 - 2023'!Y11+'[28]2018-2023'!Y11</f>
        <v>154047.886</v>
      </c>
      <c r="R11" s="32">
        <f>'[29]2018 - 2023'!Z11+'[30]2018-2023'!Z11</f>
        <v>77845.875</v>
      </c>
      <c r="S11" s="32">
        <f>'[31]2020 - 2024'!S11+'[32]2020-2024'!S11</f>
        <v>122273.538</v>
      </c>
      <c r="T11" s="32">
        <f>'[33]2020 - 2024'!T11+'[34]2020-2024'!T11</f>
        <v>0</v>
      </c>
      <c r="U11" s="32">
        <f>'[35]2020 - 2024'!U11+'[36]2020-2024'!U11</f>
        <v>3610.8249999999998</v>
      </c>
      <c r="V11" s="32">
        <f>'[37]2020 - 2024'!V11+'[38]2020-2024'!V11</f>
        <v>74805.303</v>
      </c>
      <c r="W11" s="32">
        <f>'[39]2020 - 2025'!W11+'[40]2020-2025'!W11</f>
        <v>99672.616999999998</v>
      </c>
      <c r="X11" s="32">
        <f>'[41]2020 - 2025'!X11+'[42]2020-2025'!X11</f>
        <v>99055.81</v>
      </c>
      <c r="Y11" s="32">
        <f>'[43]2020 - 2025'!Y11+'[44]2020-2025'!Y11</f>
        <v>132042.89799999999</v>
      </c>
      <c r="Z11" s="32">
        <f>'[45]2020 - 2025'!Z11+'[46]2020-2025'!Z11</f>
        <v>174890.56099999999</v>
      </c>
      <c r="AA11" s="32">
        <f>'[47]2020 - 2026'!AA11+'[48]2020-2026'!AA11</f>
        <v>189057.21493000002</v>
      </c>
    </row>
    <row r="12" spans="1:27" ht="15" customHeight="1" x14ac:dyDescent="0.15">
      <c r="B12" s="12" t="s">
        <v>64</v>
      </c>
      <c r="C12" s="32">
        <f>'[1]2015 - 2019'!S12+'[2]2015-2019'!S12</f>
        <v>0</v>
      </c>
      <c r="D12" s="32">
        <f>'[3]2015 - 2019'!T12+'[4]2015-2019'!T12</f>
        <v>0</v>
      </c>
      <c r="E12" s="32">
        <f>'[5]2015 - 2019'!U12+'[6]2015-2019'!U12</f>
        <v>0</v>
      </c>
      <c r="F12" s="32">
        <f>'[7]2015 - 2019'!V12+'[8]2015-2019'!V12</f>
        <v>0</v>
      </c>
      <c r="G12" s="32">
        <f>'[9]2015 - 2019'!W12+'[10]2016-2021'!W12</f>
        <v>0</v>
      </c>
      <c r="H12" s="32">
        <f>'[11]2016 - 2021'!X12+'[12]2016-2021'!X12</f>
        <v>0</v>
      </c>
      <c r="I12" s="32">
        <f>'[13]2016 - 2021'!Y12+'[14]2016-2021'!Y12</f>
        <v>0</v>
      </c>
      <c r="J12" s="32">
        <f>'[15]2016 - 2021'!Z12+'[16]2016-2021'!Z12</f>
        <v>0</v>
      </c>
      <c r="K12" s="32">
        <f>'[17]2018 - 2022'!S12+'[18]2018-2022'!S12</f>
        <v>0</v>
      </c>
      <c r="L12" s="32">
        <f>'[19]2018 - 2022'!T12+'[20]2018-2022'!T12</f>
        <v>0</v>
      </c>
      <c r="M12" s="32">
        <f>'[21]2018 - 2022'!U12+'[22]2018-2022'!U12</f>
        <v>0</v>
      </c>
      <c r="N12" s="32">
        <f>'[23]2018 - 2023'!V12+'[24]2018-2023'!V12</f>
        <v>0</v>
      </c>
      <c r="O12" s="32">
        <f>'[23]2018 - 2023'!W12+'[24]2018-2023'!W12</f>
        <v>0</v>
      </c>
      <c r="P12" s="32">
        <f>'[25]2018 - 2023'!X12+'[26]2018-2023'!X12</f>
        <v>3001.8273199999999</v>
      </c>
      <c r="Q12" s="32">
        <f>'[27]2018 - 2023'!Y12+'[28]2018-2023'!Y12</f>
        <v>33961.96112</v>
      </c>
      <c r="R12" s="32">
        <f>'[29]2018 - 2023'!Z12+'[30]2018-2023'!Z12</f>
        <v>9945.0195100000001</v>
      </c>
      <c r="S12" s="32">
        <f>'[31]2020 - 2024'!S12+'[32]2020-2024'!S12</f>
        <v>22633.462319999999</v>
      </c>
      <c r="T12" s="32">
        <f>'[33]2020 - 2024'!T12+'[34]2020-2024'!T12</f>
        <v>4127.06513</v>
      </c>
      <c r="U12" s="32">
        <f>'[35]2020 - 2024'!U12+'[36]2020-2024'!U12</f>
        <v>6653.82161</v>
      </c>
      <c r="V12" s="32">
        <f>'[37]2020 - 2024'!V12+'[38]2020-2024'!V12</f>
        <v>10674.35795</v>
      </c>
      <c r="W12" s="32">
        <f>'[39]2020 - 2025'!W12+'[40]2020-2025'!W12</f>
        <v>1516.9731999999999</v>
      </c>
      <c r="X12" s="32">
        <f>'[41]2020 - 2025'!X12+'[42]2020-2025'!X12</f>
        <v>747.65096000000005</v>
      </c>
      <c r="Y12" s="32">
        <f>'[43]2020 - 2025'!Y12+'[44]2020-2025'!Y12</f>
        <v>2575.8474800000004</v>
      </c>
      <c r="Z12" s="32">
        <f>'[45]2020 - 2025'!Z12+'[46]2020-2025'!Z12</f>
        <v>2899.1689500000002</v>
      </c>
      <c r="AA12" s="32">
        <f>'[47]2020 - 2026'!AA12+'[48]2020-2026'!AA12</f>
        <v>753.42004999999995</v>
      </c>
    </row>
    <row r="13" spans="1:27" ht="13.5" customHeight="1" x14ac:dyDescent="0.15">
      <c r="B13" s="1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5.95" customHeight="1" x14ac:dyDescent="0.15">
      <c r="B14" s="10" t="s">
        <v>38</v>
      </c>
      <c r="C14" s="19">
        <f t="shared" ref="C14:D14" si="11">+C15+C16+C17+C18+C19</f>
        <v>8175071</v>
      </c>
      <c r="D14" s="19">
        <f t="shared" si="11"/>
        <v>6679802</v>
      </c>
      <c r="E14" s="19">
        <f t="shared" ref="E14:F14" si="12">+E15+E16+E17+E18+E19</f>
        <v>8171870</v>
      </c>
      <c r="F14" s="19">
        <f t="shared" si="12"/>
        <v>8827959.1119999997</v>
      </c>
      <c r="G14" s="19">
        <f t="shared" ref="G14:H14" si="13">+G15+G16+G17+G18+G19</f>
        <v>8614779.2722500004</v>
      </c>
      <c r="H14" s="19">
        <f t="shared" si="13"/>
        <v>9826653.44716</v>
      </c>
      <c r="I14" s="19">
        <f t="shared" ref="I14:J14" si="14">+I15+I16+I17+I18+I19</f>
        <v>9947662.94857</v>
      </c>
      <c r="J14" s="19">
        <f t="shared" si="14"/>
        <v>8767726.6753400005</v>
      </c>
      <c r="K14" s="19">
        <f t="shared" ref="K14:L14" si="15">+K15+K16+K17+K18+K19</f>
        <v>3333657.87934</v>
      </c>
      <c r="L14" s="19">
        <f t="shared" si="15"/>
        <v>8544101.6587499995</v>
      </c>
      <c r="M14" s="19">
        <f t="shared" ref="M14" si="16">+M15+M16+M17+M18+M19</f>
        <v>7905560.7784700003</v>
      </c>
      <c r="N14" s="19">
        <f t="shared" ref="N14:O14" si="17">+N15+N16+N17+N18+N19</f>
        <v>7526957.5450200001</v>
      </c>
      <c r="O14" s="19">
        <f t="shared" si="17"/>
        <v>8154899.3301600013</v>
      </c>
      <c r="P14" s="19">
        <f t="shared" ref="P14:Q14" si="18">+P15+P16+P17+P18+P19</f>
        <v>7467927.5382000003</v>
      </c>
      <c r="Q14" s="19">
        <f t="shared" si="18"/>
        <v>8912212.594109999</v>
      </c>
      <c r="R14" s="19">
        <f t="shared" ref="R14:S14" si="19">+R15+R16+R17+R18+R19</f>
        <v>7360195.6394500006</v>
      </c>
      <c r="S14" s="19">
        <f t="shared" si="19"/>
        <v>7224062.2508399999</v>
      </c>
      <c r="T14" s="19">
        <f t="shared" ref="T14:U14" si="20">+T15+T16+T17+T18+T19</f>
        <v>7076370.6373300003</v>
      </c>
      <c r="U14" s="19">
        <f t="shared" si="20"/>
        <v>8889625.863189999</v>
      </c>
      <c r="V14" s="19">
        <f t="shared" ref="V14" si="21">+V15+V16+V17+V18+V19</f>
        <v>7742474.0293400008</v>
      </c>
      <c r="W14" s="19">
        <f>'[39]2020 - 2025'!W14+'[40]2020-2025'!W14</f>
        <v>8308895.7691500001</v>
      </c>
      <c r="X14" s="19">
        <f>'[41]2020 - 2025'!X14+'[42]2020-2025'!X14</f>
        <v>8613835.9736100007</v>
      </c>
      <c r="Y14" s="19">
        <f>'[43]2020 - 2025'!Y14+'[44]2020-2025'!Y14</f>
        <v>7361771.5735400002</v>
      </c>
      <c r="Z14" s="19">
        <f>'[45]2020 - 2025'!Z14+'[46]2020-2025'!Z14</f>
        <v>6985539.6536599994</v>
      </c>
      <c r="AA14" s="19">
        <f>'[47]2020 - 2026'!AA14+'[48]2020-2026'!AA14</f>
        <v>7242035.815200001</v>
      </c>
    </row>
    <row r="15" spans="1:27" ht="15" customHeight="1" x14ac:dyDescent="0.15">
      <c r="B15" s="16" t="s">
        <v>20</v>
      </c>
      <c r="C15" s="32">
        <f>'[1]2015 - 2019'!S15+'[2]2015-2019'!S15</f>
        <v>6996474</v>
      </c>
      <c r="D15" s="32">
        <f>'[3]2015 - 2019'!T15+'[4]2015-2019'!T15</f>
        <v>5512678</v>
      </c>
      <c r="E15" s="32">
        <f>'[5]2015 - 2019'!U15+'[6]2015-2019'!U15</f>
        <v>6856401</v>
      </c>
      <c r="F15" s="32">
        <f>'[7]2015 - 2019'!V15+'[8]2015-2019'!V15</f>
        <v>7292093.8819999993</v>
      </c>
      <c r="G15" s="32">
        <f>'[9]2015 - 2019'!W15+'[10]2016-2021'!W15</f>
        <v>6999716.0671500005</v>
      </c>
      <c r="H15" s="32">
        <f>'[11]2016 - 2021'!X15+'[12]2016-2021'!X15</f>
        <v>8033301.0091000004</v>
      </c>
      <c r="I15" s="32">
        <f>'[13]2016 - 2021'!Y15+'[14]2016-2021'!Y15</f>
        <v>6694147.8699000003</v>
      </c>
      <c r="J15" s="32">
        <f>'[15]2016 - 2021'!Z15+'[16]2016-2021'!Z15</f>
        <v>7211525.5141200004</v>
      </c>
      <c r="K15" s="32">
        <f t="shared" ref="K15" si="22">K16+K17+K18</f>
        <v>1666828.93967</v>
      </c>
      <c r="L15" s="32">
        <f>'[19]2018 - 2022'!T15+'[20]2018-2022'!T15</f>
        <v>7005477.1954299994</v>
      </c>
      <c r="M15" s="32">
        <f>'[21]2018 - 2022'!U15+'[22]2018-2022'!U15</f>
        <v>6434746.44783</v>
      </c>
      <c r="N15" s="32">
        <f>'[23]2018 - 2023'!V15+'[24]2018-2023'!V15</f>
        <v>6264673.7946799994</v>
      </c>
      <c r="O15" s="32">
        <f>'[23]2018 - 2023'!W15+'[24]2018-2023'!W15</f>
        <v>6932707.5214600004</v>
      </c>
      <c r="P15" s="32">
        <f>'[25]2018 - 2023'!X15+'[26]2018-2023'!X15</f>
        <v>6050582.2416200005</v>
      </c>
      <c r="Q15" s="32">
        <f>'[27]2018 - 2023'!Y15+'[28]2018-2023'!Y15</f>
        <v>7364936.639489999</v>
      </c>
      <c r="R15" s="32">
        <f>'[29]2018 - 2023'!Z15+'[30]2018-2023'!Z15</f>
        <v>5722942.7756700004</v>
      </c>
      <c r="S15" s="32">
        <f>'[31]2020 - 2024'!S15+'[32]2020-2024'!S15</f>
        <v>5697625.8680300005</v>
      </c>
      <c r="T15" s="32">
        <f>'[33]2020 - 2024'!T15+'[34]2020-2024'!T15</f>
        <v>5720212.0021000002</v>
      </c>
      <c r="U15" s="32">
        <f>'[35]2020 - 2024'!U15+'[36]2020-2024'!U15</f>
        <v>7326549.2318299999</v>
      </c>
      <c r="V15" s="32">
        <f>'[37]2020 - 2024'!V15+'[38]2020-2024'!V15</f>
        <v>6095176.8696100004</v>
      </c>
      <c r="W15" s="32">
        <f>'[39]2020 - 2025'!W15+'[40]2020-2025'!W15</f>
        <v>6724301.9561000001</v>
      </c>
      <c r="X15" s="32">
        <f>'[41]2020 - 2025'!X15+'[42]2020-2025'!X15</f>
        <v>6951518.3030700004</v>
      </c>
      <c r="Y15" s="32">
        <f>'[43]2020 - 2025'!Y15+'[44]2020-2025'!Y15</f>
        <v>5735126.6719599999</v>
      </c>
      <c r="Z15" s="32">
        <f>'[45]2020 - 2025'!Z15+'[46]2020-2025'!Z15</f>
        <v>5260828.2293499997</v>
      </c>
      <c r="AA15" s="32">
        <f>'[47]2020 - 2026'!AA15+'[48]2020-2026'!AA15</f>
        <v>5246855.3495199997</v>
      </c>
    </row>
    <row r="16" spans="1:27" ht="15" customHeight="1" x14ac:dyDescent="0.15">
      <c r="B16" s="12" t="s">
        <v>47</v>
      </c>
      <c r="C16" s="32">
        <f>'[1]2015 - 2019'!S16+'[2]2015-2019'!S16</f>
        <v>1178585</v>
      </c>
      <c r="D16" s="32">
        <f>'[3]2015 - 2019'!T16+'[4]2015-2019'!T16</f>
        <v>1167106</v>
      </c>
      <c r="E16" s="32">
        <f>'[5]2015 - 2019'!U16+'[6]2015-2019'!U16</f>
        <v>1314945</v>
      </c>
      <c r="F16" s="32">
        <f>'[7]2015 - 2019'!V16+'[8]2015-2019'!V16</f>
        <v>1535776.23</v>
      </c>
      <c r="G16" s="32">
        <f>'[9]2015 - 2019'!W16+'[10]2016-2021'!W16</f>
        <v>1614965.2051000001</v>
      </c>
      <c r="H16" s="32">
        <f>'[11]2016 - 2021'!X16+'[12]2016-2021'!X16</f>
        <v>1791958.4070599999</v>
      </c>
      <c r="I16" s="32">
        <f>'[13]2016 - 2021'!Y16+'[14]2016-2021'!Y16</f>
        <v>3251043.21606</v>
      </c>
      <c r="J16" s="32">
        <f>'[15]2016 - 2021'!Z16+'[16]2016-2021'!Z16</f>
        <v>1554028.2090799999</v>
      </c>
      <c r="K16" s="32">
        <f>'[17]2018 - 2022'!S16+'[18]2018-2022'!S16</f>
        <v>1665712.8521</v>
      </c>
      <c r="L16" s="32">
        <f>'[19]2018 - 2022'!T16+'[20]2018-2022'!T16</f>
        <v>1535200.41075</v>
      </c>
      <c r="M16" s="32">
        <f>'[21]2018 - 2022'!U16+'[22]2018-2022'!U16</f>
        <v>1466021.18307</v>
      </c>
      <c r="N16" s="32">
        <f>'[23]2018 - 2023'!V16+'[24]2018-2023'!V16</f>
        <v>1257005.07177</v>
      </c>
      <c r="O16" s="32">
        <f>'[23]2018 - 2023'!W16+'[24]2018-2023'!W16</f>
        <v>1215713.2387000001</v>
      </c>
      <c r="P16" s="32">
        <f>'[25]2018 - 2023'!X16+'[26]2018-2023'!X16</f>
        <v>1409193.91258</v>
      </c>
      <c r="Q16" s="32">
        <f>'[27]2018 - 2023'!Y16+'[28]2018-2023'!Y16</f>
        <v>1538866.9966199999</v>
      </c>
      <c r="R16" s="32">
        <f>'[29]2018 - 2023'!Z16+'[30]2018-2023'!Z16</f>
        <v>1627816.3287799999</v>
      </c>
      <c r="S16" s="32">
        <f>'[31]2020 - 2024'!S16+'[32]2020-2024'!S16</f>
        <v>1516228.9128100001</v>
      </c>
      <c r="T16" s="32">
        <f>'[33]2020 - 2024'!T16+'[34]2020-2024'!T16</f>
        <v>1345128.65423</v>
      </c>
      <c r="U16" s="32">
        <f>'[35]2020 - 2024'!U16+'[36]2020-2024'!U16</f>
        <v>1550764.6363599999</v>
      </c>
      <c r="V16" s="32">
        <f>'[37]2020 - 2024'!V16+'[38]2020-2024'!V16</f>
        <v>1633256.77773</v>
      </c>
      <c r="W16" s="32">
        <f>'[39]2020 - 2025'!W16+'[40]2020-2025'!W16</f>
        <v>1570459.65705</v>
      </c>
      <c r="X16" s="32">
        <f>'[41]2020 - 2025'!X16+'[42]2020-2025'!X16</f>
        <v>1606705.9195400001</v>
      </c>
      <c r="Y16" s="32">
        <f>'[43]2020 - 2025'!Y16+'[44]2020-2025'!Y16</f>
        <v>1591943.4785799999</v>
      </c>
      <c r="Z16" s="32">
        <f>'[45]2020 - 2025'!Z16+'[46]2020-2025'!Z16</f>
        <v>1666503.6093100002</v>
      </c>
      <c r="AA16" s="32">
        <f>'[47]2020 - 2026'!AA16+'[48]2020-2026'!AA16</f>
        <v>1948027.1973600001</v>
      </c>
    </row>
    <row r="17" spans="1:27" ht="15" customHeight="1" x14ac:dyDescent="0.15">
      <c r="B17" s="12" t="s">
        <v>92</v>
      </c>
      <c r="C17" s="32">
        <f>'[1]2015 - 2019'!S17+'[2]2015-2019'!S17</f>
        <v>12</v>
      </c>
      <c r="D17" s="32">
        <f>'[3]2015 - 2019'!T17+'[4]2015-2019'!T17</f>
        <v>18</v>
      </c>
      <c r="E17" s="32">
        <f>'[5]2015 - 2019'!U17+'[6]2015-2019'!U17</f>
        <v>524</v>
      </c>
      <c r="F17" s="32">
        <f>'[7]2015 - 2019'!V17+'[8]2015-2019'!V17</f>
        <v>89</v>
      </c>
      <c r="G17" s="32">
        <f>'[9]2015 - 2019'!W17+'[10]2016-2021'!W17</f>
        <v>98</v>
      </c>
      <c r="H17" s="32">
        <f>'[11]2016 - 2021'!X17+'[12]2016-2021'!X17</f>
        <v>1394.0309999999999</v>
      </c>
      <c r="I17" s="32">
        <f>'[13]2016 - 2021'!Y17+'[14]2016-2021'!Y17</f>
        <v>2471.8626100000001</v>
      </c>
      <c r="J17" s="32">
        <f>'[15]2016 - 2021'!Z17+'[16]2016-2021'!Z17</f>
        <v>2172.9521399999999</v>
      </c>
      <c r="K17" s="32">
        <f>'[17]2018 - 2022'!S17+'[18]2018-2022'!S17</f>
        <v>1116.0875699999999</v>
      </c>
      <c r="L17" s="32">
        <f>'[19]2018 - 2022'!T17+'[20]2018-2022'!T17</f>
        <v>3424.0525700000003</v>
      </c>
      <c r="M17" s="32">
        <f>'[21]2018 - 2022'!U17+'[22]2018-2022'!U17</f>
        <v>4793.1475700000001</v>
      </c>
      <c r="N17" s="32">
        <f>'[23]2018 - 2023'!V17+'[24]2018-2023'!V17</f>
        <v>5278.67857</v>
      </c>
      <c r="O17" s="32">
        <f>'[23]2018 - 2023'!W17+'[24]2018-2023'!W17</f>
        <v>6478.57</v>
      </c>
      <c r="P17" s="32">
        <f>'[25]2018 - 2023'!X17+'[26]2018-2023'!X17</f>
        <v>8151.384</v>
      </c>
      <c r="Q17" s="32">
        <f>'[27]2018 - 2023'!Y17+'[28]2018-2023'!Y17</f>
        <v>8408.9580000000005</v>
      </c>
      <c r="R17" s="32">
        <f>'[29]2018 - 2023'!Z17+'[30]2018-2023'!Z17</f>
        <v>9436.5349999999999</v>
      </c>
      <c r="S17" s="32">
        <f>'[31]2020 - 2024'!S17+'[32]2020-2024'!S17</f>
        <v>10207.469999999999</v>
      </c>
      <c r="T17" s="32">
        <f>'[33]2020 - 2024'!T17+'[34]2020-2024'!T17</f>
        <v>11029.981</v>
      </c>
      <c r="U17" s="32">
        <f>'[35]2020 - 2024'!U17+'[36]2020-2024'!U17</f>
        <v>12311.995000000001</v>
      </c>
      <c r="V17" s="32">
        <f>'[37]2020 - 2024'!V17+'[38]2020-2024'!V17</f>
        <v>14040.382</v>
      </c>
      <c r="W17" s="32">
        <f>'[39]2020 - 2025'!W17+'[40]2020-2025'!W17</f>
        <v>14134.156000000001</v>
      </c>
      <c r="X17" s="32">
        <f>'[41]2020 - 2025'!X17+'[42]2020-2025'!X17</f>
        <v>55611.751000000004</v>
      </c>
      <c r="Y17" s="32">
        <f>'[43]2020 - 2025'!Y17+'[44]2020-2025'!Y17</f>
        <v>34701.423000000003</v>
      </c>
      <c r="Z17" s="32">
        <f>'[45]2020 - 2025'!Z17+'[46]2020-2025'!Z17</f>
        <v>58198.214999999997</v>
      </c>
      <c r="AA17" s="32">
        <f>'[47]2020 - 2026'!AA17+'[48]2020-2026'!AA17</f>
        <v>47143.668000000005</v>
      </c>
    </row>
    <row r="18" spans="1:27" ht="15" customHeight="1" x14ac:dyDescent="0.15">
      <c r="B18" s="12" t="s">
        <v>81</v>
      </c>
      <c r="C18" s="32">
        <f>'[1]2015 - 2019'!S18+'[2]2015-2019'!S18</f>
        <v>0</v>
      </c>
      <c r="D18" s="32">
        <f>'[3]2015 - 2019'!T18+'[4]2015-2019'!T18</f>
        <v>0</v>
      </c>
      <c r="E18" s="32">
        <f>'[5]2015 - 2019'!U18+'[6]2015-2019'!U18</f>
        <v>0</v>
      </c>
      <c r="F18" s="32">
        <f>'[7]2015 - 2019'!V18+'[8]2015-2019'!V18</f>
        <v>0</v>
      </c>
      <c r="G18" s="32">
        <f>'[9]2015 - 2019'!W18+'[10]2016-2021'!W18</f>
        <v>0</v>
      </c>
      <c r="H18" s="32">
        <f>'[11]2016 - 2021'!X18+'[12]2016-2021'!X18</f>
        <v>0</v>
      </c>
      <c r="I18" s="32">
        <f>'[13]2016 - 2021'!Y18+'[14]2016-2021'!Y18</f>
        <v>0</v>
      </c>
      <c r="J18" s="32">
        <f>'[15]2016 - 2021'!Z18+'[16]2016-2021'!Z18</f>
        <v>0</v>
      </c>
      <c r="K18" s="32">
        <f>'[17]2018 - 2022'!S18+'[18]2018-2022'!S18</f>
        <v>0</v>
      </c>
      <c r="L18" s="32">
        <f>'[19]2018 - 2022'!T18+'[20]2018-2022'!T18</f>
        <v>0</v>
      </c>
      <c r="M18" s="32">
        <f>'[21]2018 - 2022'!U18+'[22]2018-2022'!U18</f>
        <v>0</v>
      </c>
      <c r="N18" s="32">
        <f>'[23]2018 - 2023'!V18+'[24]2018-2023'!V18</f>
        <v>0</v>
      </c>
      <c r="O18" s="32">
        <f>'[23]2018 - 2023'!W18+'[24]2018-2023'!W18</f>
        <v>0</v>
      </c>
      <c r="P18" s="32">
        <f>'[25]2018 - 2023'!X18+'[26]2018-2023'!X18</f>
        <v>0</v>
      </c>
      <c r="Q18" s="32">
        <f>'[27]2018 - 2023'!Y18+'[28]2018-2023'!Y18</f>
        <v>0</v>
      </c>
      <c r="R18" s="32">
        <f>'[29]2018 - 2023'!Z18+'[30]2018-2023'!Z18</f>
        <v>0</v>
      </c>
      <c r="S18" s="32">
        <f>'[31]2020 - 2024'!S18+'[32]2020-2024'!S18</f>
        <v>0</v>
      </c>
      <c r="T18" s="32">
        <f>'[33]2020 - 2024'!T18+'[34]2020-2024'!T18</f>
        <v>0</v>
      </c>
      <c r="U18" s="32">
        <f>'[35]2020 - 2024'!U18+'[36]2020-2024'!U18</f>
        <v>0</v>
      </c>
      <c r="V18" s="32">
        <f>'[37]2020 - 2024'!V18+'[38]2020-2024'!V18</f>
        <v>0</v>
      </c>
      <c r="W18" s="32">
        <f>'[39]2020 - 2025'!W18+'[40]2020-2025'!W18</f>
        <v>0</v>
      </c>
      <c r="X18" s="32">
        <f>'[41]2020 - 2025'!X18+'[42]2020-2025'!X18</f>
        <v>0</v>
      </c>
      <c r="Y18" s="32">
        <f>'[43]2020 - 2025'!Y18+'[44]2020-2025'!Y18</f>
        <v>0</v>
      </c>
      <c r="Z18" s="32">
        <f>'[45]2020 - 2025'!Z18+'[46]2020-2025'!Z18</f>
        <v>9.6</v>
      </c>
      <c r="AA18" s="32">
        <f>'[47]2020 - 2026'!AA18+'[48]2020-2026'!AA18</f>
        <v>9.60032</v>
      </c>
    </row>
    <row r="19" spans="1:27" ht="15" customHeight="1" x14ac:dyDescent="0.15">
      <c r="B19" s="16" t="s">
        <v>89</v>
      </c>
      <c r="C19" s="32">
        <f>'[1]2015 - 2019'!S19+'[2]2015-2019'!S19</f>
        <v>0</v>
      </c>
      <c r="D19" s="32">
        <f>'[3]2015 - 2019'!T19+'[4]2015-2019'!T19</f>
        <v>0</v>
      </c>
      <c r="E19" s="32">
        <f>'[5]2015 - 2019'!U19+'[6]2015-2019'!U19</f>
        <v>0</v>
      </c>
      <c r="F19" s="32">
        <f>'[7]2015 - 2019'!V19+'[8]2015-2019'!V19</f>
        <v>0</v>
      </c>
      <c r="G19" s="32">
        <f>'[9]2015 - 2019'!W19+'[10]2016-2021'!W19</f>
        <v>0</v>
      </c>
      <c r="H19" s="32">
        <f>'[11]2016 - 2021'!X19+'[12]2016-2021'!X19</f>
        <v>0</v>
      </c>
      <c r="I19" s="32">
        <f>'[13]2016 - 2021'!Y19+'[14]2016-2021'!Y19</f>
        <v>0</v>
      </c>
      <c r="J19" s="32">
        <f>'[15]2016 - 2021'!Z19+'[16]2016-2021'!Z19</f>
        <v>0</v>
      </c>
      <c r="K19" s="32">
        <f>'[17]2018 - 2022'!S19+'[18]2018-2022'!S19</f>
        <v>0</v>
      </c>
      <c r="L19" s="32">
        <f>'[19]2018 - 2022'!T19+'[20]2018-2022'!T19</f>
        <v>0</v>
      </c>
      <c r="M19" s="32">
        <f>'[21]2018 - 2022'!U19+'[22]2018-2022'!U19</f>
        <v>0</v>
      </c>
      <c r="N19" s="32">
        <f>'[23]2018 - 2023'!V19+'[24]2018-2023'!V19</f>
        <v>0</v>
      </c>
      <c r="O19" s="32">
        <f>'[23]2018 - 2023'!W19+'[24]2018-2023'!W19</f>
        <v>0</v>
      </c>
      <c r="P19" s="32">
        <f>'[25]2018 - 2023'!X19+'[26]2018-2023'!X19</f>
        <v>0</v>
      </c>
      <c r="Q19" s="32">
        <f>'[27]2018 - 2023'!Y19+'[28]2018-2023'!Y19</f>
        <v>0</v>
      </c>
      <c r="R19" s="32">
        <f>'[29]2018 - 2023'!Z19+'[30]2018-2023'!Z19</f>
        <v>0</v>
      </c>
      <c r="S19" s="32">
        <f>'[31]2020 - 2024'!S19+'[32]2020-2024'!S19</f>
        <v>0</v>
      </c>
      <c r="T19" s="32">
        <f>'[33]2020 - 2024'!T19+'[34]2020-2024'!T19</f>
        <v>0</v>
      </c>
      <c r="U19" s="32">
        <f>'[35]2020 - 2024'!U19+'[36]2020-2024'!U19</f>
        <v>0</v>
      </c>
      <c r="V19" s="32">
        <f>'[37]2020 - 2024'!V19+'[38]2020-2024'!V19</f>
        <v>0</v>
      </c>
      <c r="W19" s="32">
        <f>'[39]2020 - 2025'!W19+'[40]2020-2025'!W19</f>
        <v>0</v>
      </c>
      <c r="X19" s="32">
        <f>'[41]2020 - 2025'!X19+'[42]2020-2025'!X19</f>
        <v>0</v>
      </c>
      <c r="Y19" s="32">
        <f>'[43]2020 - 2025'!Y19+'[44]2020-2025'!Y19</f>
        <v>0</v>
      </c>
      <c r="Z19" s="32">
        <f>'[45]2020 - 2025'!Z19+'[46]2020-2025'!Z19</f>
        <v>0</v>
      </c>
      <c r="AA19" s="32">
        <f>'[47]2020 - 2026'!AA19+'[48]2020-2026'!AA19</f>
        <v>0</v>
      </c>
    </row>
    <row r="20" spans="1:27" ht="12" customHeight="1" x14ac:dyDescent="0.15"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5.95" customHeight="1" x14ac:dyDescent="0.15">
      <c r="A21" s="4">
        <v>2</v>
      </c>
      <c r="B21" s="7" t="s">
        <v>48</v>
      </c>
      <c r="C21" s="19">
        <f t="shared" ref="C21:D21" si="23">+C22+C31</f>
        <v>4215183</v>
      </c>
      <c r="D21" s="19">
        <f t="shared" si="23"/>
        <v>4181452</v>
      </c>
      <c r="E21" s="19">
        <f t="shared" ref="E21:F21" si="24">+E22+E31</f>
        <v>4287969</v>
      </c>
      <c r="F21" s="19">
        <f t="shared" si="24"/>
        <v>4375351.2920000004</v>
      </c>
      <c r="G21" s="19">
        <f t="shared" ref="G21:H21" si="25">+G22+G31</f>
        <v>4599216.85097</v>
      </c>
      <c r="H21" s="19">
        <f t="shared" si="25"/>
        <v>4628522.4024400003</v>
      </c>
      <c r="I21" s="19">
        <f t="shared" ref="I21:J21" si="26">+I22+I31</f>
        <v>4914006.8725300003</v>
      </c>
      <c r="J21" s="19">
        <f t="shared" si="26"/>
        <v>5020092.5687700007</v>
      </c>
      <c r="K21" s="19">
        <f t="shared" ref="K21:L21" si="27">+K22+K31</f>
        <v>4778640.72798</v>
      </c>
      <c r="L21" s="19">
        <f t="shared" si="27"/>
        <v>4518268.7133300006</v>
      </c>
      <c r="M21" s="19">
        <f t="shared" ref="M21" si="28">+M22+M31</f>
        <v>4497361.93891</v>
      </c>
      <c r="N21" s="19">
        <f t="shared" ref="N21:O21" si="29">+N22+N31</f>
        <v>4806165.9461899996</v>
      </c>
      <c r="O21" s="19">
        <f t="shared" si="29"/>
        <v>4898879.3611200005</v>
      </c>
      <c r="P21" s="19">
        <f t="shared" ref="P21:Q21" si="30">+P22+P31</f>
        <v>5406142.5244899997</v>
      </c>
      <c r="Q21" s="19">
        <f t="shared" si="30"/>
        <v>5096292.2768599996</v>
      </c>
      <c r="R21" s="19">
        <f t="shared" ref="R21:S21" si="31">+R22+R31</f>
        <v>5196967.9363800008</v>
      </c>
      <c r="S21" s="19">
        <f t="shared" si="31"/>
        <v>5488017.2718899995</v>
      </c>
      <c r="T21" s="19">
        <f t="shared" ref="T21:U21" si="32">+T22+T31</f>
        <v>5364842.7843199996</v>
      </c>
      <c r="U21" s="19">
        <f t="shared" si="32"/>
        <v>4938778.3085000003</v>
      </c>
      <c r="V21" s="19">
        <f t="shared" ref="V21" si="33">+V22+V31</f>
        <v>4777399.2647599997</v>
      </c>
      <c r="W21" s="19">
        <f>'[39]2020 - 2025'!W21+'[40]2020-2025'!W21</f>
        <v>4875651.6190299997</v>
      </c>
      <c r="X21" s="19">
        <f>'[41]2020 - 2025'!X21+'[42]2020-2025'!X21</f>
        <v>5103380.7089</v>
      </c>
      <c r="Y21" s="19">
        <f>'[43]2020 - 2025'!Y21+'[44]2020-2025'!Y21</f>
        <v>4983743.2707200004</v>
      </c>
      <c r="Z21" s="19">
        <f>'[45]2020 - 2025'!Z21+'[46]2020-2025'!Z21</f>
        <v>5622949.3648899999</v>
      </c>
      <c r="AA21" s="19">
        <f>'[47]2020 - 2026'!AA21+'[48]2020-2026'!AA21</f>
        <v>5620585.7062400002</v>
      </c>
    </row>
    <row r="22" spans="1:27" s="20" customFormat="1" ht="15.95" customHeight="1" x14ac:dyDescent="0.15">
      <c r="A22" s="4"/>
      <c r="B22" s="10" t="s">
        <v>36</v>
      </c>
      <c r="C22" s="19">
        <f t="shared" ref="C22:D22" si="34">SUM(C23:C29)</f>
        <v>111979</v>
      </c>
      <c r="D22" s="19">
        <f t="shared" si="34"/>
        <v>0</v>
      </c>
      <c r="E22" s="19">
        <f t="shared" ref="E22:F22" si="35">SUM(E23:E29)</f>
        <v>0</v>
      </c>
      <c r="F22" s="19">
        <f t="shared" si="35"/>
        <v>0</v>
      </c>
      <c r="G22" s="19">
        <f t="shared" ref="G22:H22" si="36">SUM(G23:G29)</f>
        <v>0</v>
      </c>
      <c r="H22" s="19">
        <f t="shared" si="36"/>
        <v>0</v>
      </c>
      <c r="I22" s="19">
        <f t="shared" ref="I22:J22" si="37">SUM(I23:I29)</f>
        <v>0</v>
      </c>
      <c r="J22" s="19">
        <f t="shared" si="37"/>
        <v>0</v>
      </c>
      <c r="K22" s="19">
        <f t="shared" ref="K22:L22" si="38">SUM(K23:K29)</f>
        <v>0</v>
      </c>
      <c r="L22" s="19">
        <f t="shared" si="38"/>
        <v>0</v>
      </c>
      <c r="M22" s="19">
        <f t="shared" ref="M22" si="39">SUM(M23:M29)</f>
        <v>0</v>
      </c>
      <c r="N22" s="19">
        <f t="shared" ref="N22:O22" si="40">SUM(N23:N29)</f>
        <v>0</v>
      </c>
      <c r="O22" s="19">
        <f t="shared" si="40"/>
        <v>0</v>
      </c>
      <c r="P22" s="19">
        <f t="shared" ref="P22:Q22" si="41">SUM(P23:P29)</f>
        <v>0</v>
      </c>
      <c r="Q22" s="19">
        <f t="shared" si="41"/>
        <v>0</v>
      </c>
      <c r="R22" s="19">
        <f t="shared" ref="R22:S22" si="42">SUM(R23:R29)</f>
        <v>0</v>
      </c>
      <c r="S22" s="19">
        <f t="shared" si="42"/>
        <v>0</v>
      </c>
      <c r="T22" s="19">
        <f t="shared" ref="T22:U22" si="43">SUM(T23:T29)</f>
        <v>0</v>
      </c>
      <c r="U22" s="19">
        <f t="shared" si="43"/>
        <v>0</v>
      </c>
      <c r="V22" s="19">
        <f t="shared" ref="V22" si="44">SUM(V23:V29)</f>
        <v>54783.197999999997</v>
      </c>
      <c r="W22" s="19">
        <f>'[39]2020 - 2025'!W22+'[40]2020-2025'!W22</f>
        <v>55601.038</v>
      </c>
      <c r="X22" s="19">
        <f>'[41]2020 - 2025'!X22+'[42]2020-2025'!X22</f>
        <v>73484.766000000003</v>
      </c>
      <c r="Y22" s="19">
        <f>'[43]2020 - 2025'!Y22+'[44]2020-2025'!Y22</f>
        <v>73484.766000000003</v>
      </c>
      <c r="Z22" s="19">
        <f>'[45]2020 - 2025'!Z22+'[46]2020-2025'!Z22</f>
        <v>73484.767999999996</v>
      </c>
      <c r="AA22" s="19">
        <f>'[47]2020 - 2026'!AA22+'[48]2020-2026'!AA22</f>
        <v>73484.767999999996</v>
      </c>
    </row>
    <row r="23" spans="1:27" ht="15" customHeight="1" x14ac:dyDescent="0.15">
      <c r="B23" s="2" t="s">
        <v>3</v>
      </c>
      <c r="C23" s="32">
        <f>'[1]2015 - 2019'!S23+'[2]2015-2019'!S23</f>
        <v>0</v>
      </c>
      <c r="D23" s="32">
        <f>'[3]2015 - 2019'!T23+'[4]2015-2019'!T23</f>
        <v>0</v>
      </c>
      <c r="E23" s="32">
        <f>'[5]2015 - 2019'!U23+'[6]2015-2019'!U23</f>
        <v>0</v>
      </c>
      <c r="F23" s="32">
        <f>'[7]2015 - 2019'!V23+'[8]2015-2019'!V23</f>
        <v>0</v>
      </c>
      <c r="G23" s="32">
        <f>'[9]2015 - 2019'!W23+'[10]2016-2021'!W23</f>
        <v>0</v>
      </c>
      <c r="H23" s="32">
        <f>'[11]2016 - 2021'!X23+'[12]2016-2021'!X23</f>
        <v>0</v>
      </c>
      <c r="I23" s="32">
        <f>'[13]2016 - 2021'!Y23+'[14]2016-2021'!Y23</f>
        <v>0</v>
      </c>
      <c r="J23" s="32">
        <f>'[15]2016 - 2021'!Z23+'[16]2016-2021'!Z23</f>
        <v>0</v>
      </c>
      <c r="K23" s="32">
        <f>'[17]2018 - 2022'!S23+'[18]2018-2022'!S23</f>
        <v>0</v>
      </c>
      <c r="L23" s="32">
        <f>'[19]2018 - 2022'!T23+'[20]2018-2022'!T23</f>
        <v>0</v>
      </c>
      <c r="M23" s="32">
        <f>'[21]2018 - 2022'!U23+'[22]2018-2022'!U23</f>
        <v>0</v>
      </c>
      <c r="N23" s="32">
        <f>'[23]2018 - 2023'!V23+'[24]2018-2023'!V23</f>
        <v>0</v>
      </c>
      <c r="O23" s="32">
        <f>'[23]2018 - 2023'!W23+'[24]2018-2023'!W23</f>
        <v>0</v>
      </c>
      <c r="P23" s="32">
        <f>'[25]2018 - 2023'!X23+'[26]2018-2023'!X23</f>
        <v>0</v>
      </c>
      <c r="Q23" s="32">
        <f>'[27]2018 - 2023'!Y23+'[28]2018-2023'!Y23</f>
        <v>0</v>
      </c>
      <c r="R23" s="32">
        <f>'[29]2018 - 2023'!Z23+'[30]2018-2023'!Z23</f>
        <v>0</v>
      </c>
      <c r="S23" s="32">
        <f>'[31]2020 - 2024'!S23+'[32]2020-2024'!S23</f>
        <v>0</v>
      </c>
      <c r="T23" s="32">
        <f>'[33]2020 - 2024'!T23+'[34]2020-2024'!T23</f>
        <v>0</v>
      </c>
      <c r="U23" s="32">
        <f>'[35]2020 - 2024'!U23+'[36]2020-2024'!U23</f>
        <v>0</v>
      </c>
      <c r="V23" s="32">
        <f>'[37]2020 - 2024'!V23+'[38]2020-2024'!V23</f>
        <v>0</v>
      </c>
      <c r="W23" s="32">
        <f>'[39]2020 - 2025'!W23+'[40]2020-2025'!W23</f>
        <v>0</v>
      </c>
      <c r="X23" s="32">
        <f>'[41]2020 - 2025'!X23+'[42]2020-2025'!X23</f>
        <v>0</v>
      </c>
      <c r="Y23" s="32">
        <f>'[43]2020 - 2025'!Y23+'[44]2020-2025'!Y23</f>
        <v>0</v>
      </c>
      <c r="Z23" s="32">
        <f>'[45]2020 - 2025'!Z23+'[46]2020-2025'!Z23</f>
        <v>0</v>
      </c>
      <c r="AA23" s="32">
        <f>'[47]2020 - 2026'!AA23+'[48]2020-2026'!AA23</f>
        <v>0</v>
      </c>
    </row>
    <row r="24" spans="1:27" ht="15" customHeight="1" x14ac:dyDescent="0.15">
      <c r="B24" s="2" t="s">
        <v>13</v>
      </c>
      <c r="C24" s="32">
        <f>'[1]2015 - 2019'!S24+'[2]2015-2019'!S24</f>
        <v>0</v>
      </c>
      <c r="D24" s="32">
        <f>'[3]2015 - 2019'!T24+'[4]2015-2019'!T24</f>
        <v>0</v>
      </c>
      <c r="E24" s="32">
        <f>'[5]2015 - 2019'!U24+'[6]2015-2019'!U24</f>
        <v>0</v>
      </c>
      <c r="F24" s="32">
        <f>'[7]2015 - 2019'!V24+'[8]2015-2019'!V24</f>
        <v>0</v>
      </c>
      <c r="G24" s="32">
        <f>'[9]2015 - 2019'!W24+'[10]2016-2021'!W24</f>
        <v>0</v>
      </c>
      <c r="H24" s="32">
        <f>'[11]2016 - 2021'!X24+'[12]2016-2021'!X24</f>
        <v>0</v>
      </c>
      <c r="I24" s="32">
        <f>'[13]2016 - 2021'!Y24+'[14]2016-2021'!Y24</f>
        <v>0</v>
      </c>
      <c r="J24" s="32">
        <f>'[15]2016 - 2021'!Z24+'[16]2016-2021'!Z24</f>
        <v>0</v>
      </c>
      <c r="K24" s="32">
        <f>'[17]2018 - 2022'!S24+'[18]2018-2022'!S24</f>
        <v>0</v>
      </c>
      <c r="L24" s="32">
        <f>'[19]2018 - 2022'!T24+'[20]2018-2022'!T24</f>
        <v>0</v>
      </c>
      <c r="M24" s="32">
        <f>'[21]2018 - 2022'!U24+'[22]2018-2022'!U24</f>
        <v>0</v>
      </c>
      <c r="N24" s="32">
        <f>'[23]2018 - 2023'!V24+'[24]2018-2023'!V24</f>
        <v>0</v>
      </c>
      <c r="O24" s="32">
        <f>'[23]2018 - 2023'!W24+'[24]2018-2023'!W24</f>
        <v>0</v>
      </c>
      <c r="P24" s="32">
        <f>'[25]2018 - 2023'!X24+'[26]2018-2023'!X24</f>
        <v>0</v>
      </c>
      <c r="Q24" s="32">
        <f>'[27]2018 - 2023'!Y24+'[28]2018-2023'!Y24</f>
        <v>0</v>
      </c>
      <c r="R24" s="32">
        <f>'[29]2018 - 2023'!Z24+'[30]2018-2023'!Z24</f>
        <v>0</v>
      </c>
      <c r="S24" s="32">
        <f>'[31]2020 - 2024'!S24+'[32]2020-2024'!S24</f>
        <v>0</v>
      </c>
      <c r="T24" s="32">
        <f>'[33]2020 - 2024'!T24+'[34]2020-2024'!T24</f>
        <v>0</v>
      </c>
      <c r="U24" s="32">
        <f>'[35]2020 - 2024'!U24+'[36]2020-2024'!U24</f>
        <v>0</v>
      </c>
      <c r="V24" s="32">
        <f>'[37]2020 - 2024'!V24+'[38]2020-2024'!V24</f>
        <v>0</v>
      </c>
      <c r="W24" s="32">
        <f>'[39]2020 - 2025'!W24+'[40]2020-2025'!W24</f>
        <v>0</v>
      </c>
      <c r="X24" s="32">
        <f>'[41]2020 - 2025'!X24+'[42]2020-2025'!X24</f>
        <v>0</v>
      </c>
      <c r="Y24" s="32">
        <f>'[43]2020 - 2025'!Y24+'[44]2020-2025'!Y24</f>
        <v>0</v>
      </c>
      <c r="Z24" s="32">
        <f>'[45]2020 - 2025'!Z24+'[46]2020-2025'!Z24</f>
        <v>0</v>
      </c>
      <c r="AA24" s="32">
        <f>'[47]2020 - 2026'!AA24+'[48]2020-2026'!AA24</f>
        <v>0</v>
      </c>
    </row>
    <row r="25" spans="1:27" ht="15" customHeight="1" x14ac:dyDescent="0.15">
      <c r="B25" s="2" t="s">
        <v>18</v>
      </c>
      <c r="C25" s="32">
        <f>'[1]2015 - 2019'!S25+'[2]2015-2019'!S25</f>
        <v>0</v>
      </c>
      <c r="D25" s="32">
        <f>'[3]2015 - 2019'!T25+'[4]2015-2019'!T25</f>
        <v>0</v>
      </c>
      <c r="E25" s="32">
        <f>'[5]2015 - 2019'!U25+'[6]2015-2019'!U25</f>
        <v>0</v>
      </c>
      <c r="F25" s="32">
        <f>'[7]2015 - 2019'!V25+'[8]2015-2019'!V25</f>
        <v>0</v>
      </c>
      <c r="G25" s="32">
        <f>'[9]2015 - 2019'!W25+'[10]2016-2021'!W25</f>
        <v>0</v>
      </c>
      <c r="H25" s="32">
        <f>'[11]2016 - 2021'!X25+'[12]2016-2021'!X25</f>
        <v>0</v>
      </c>
      <c r="I25" s="32">
        <f>'[13]2016 - 2021'!Y25+'[14]2016-2021'!Y25</f>
        <v>0</v>
      </c>
      <c r="J25" s="32">
        <f>'[15]2016 - 2021'!Z25+'[16]2016-2021'!Z25</f>
        <v>0</v>
      </c>
      <c r="K25" s="32">
        <f>'[17]2018 - 2022'!S25+'[18]2018-2022'!S25</f>
        <v>0</v>
      </c>
      <c r="L25" s="32">
        <f>'[19]2018 - 2022'!T25+'[20]2018-2022'!T25</f>
        <v>0</v>
      </c>
      <c r="M25" s="32">
        <f>'[21]2018 - 2022'!U25+'[22]2018-2022'!U25</f>
        <v>0</v>
      </c>
      <c r="N25" s="32">
        <f>'[23]2018 - 2023'!V25+'[24]2018-2023'!V25</f>
        <v>0</v>
      </c>
      <c r="O25" s="32">
        <f>'[23]2018 - 2023'!W25+'[24]2018-2023'!W25</f>
        <v>0</v>
      </c>
      <c r="P25" s="32">
        <f>'[25]2018 - 2023'!X25+'[26]2018-2023'!X25</f>
        <v>0</v>
      </c>
      <c r="Q25" s="32">
        <f>'[27]2018 - 2023'!Y25+'[28]2018-2023'!Y25</f>
        <v>0</v>
      </c>
      <c r="R25" s="32">
        <f>'[29]2018 - 2023'!Z25+'[30]2018-2023'!Z25</f>
        <v>0</v>
      </c>
      <c r="S25" s="32">
        <f>'[31]2020 - 2024'!S25+'[32]2020-2024'!S25</f>
        <v>0</v>
      </c>
      <c r="T25" s="32">
        <f>'[33]2020 - 2024'!T25+'[34]2020-2024'!T25</f>
        <v>0</v>
      </c>
      <c r="U25" s="32">
        <f>'[35]2020 - 2024'!U25+'[36]2020-2024'!U25</f>
        <v>0</v>
      </c>
      <c r="V25" s="32">
        <f>'[37]2020 - 2024'!V25+'[38]2020-2024'!V25</f>
        <v>0</v>
      </c>
      <c r="W25" s="32">
        <f>'[39]2020 - 2025'!W25+'[40]2020-2025'!W25</f>
        <v>0</v>
      </c>
      <c r="X25" s="32">
        <f>'[41]2020 - 2025'!X25+'[42]2020-2025'!X25</f>
        <v>0</v>
      </c>
      <c r="Y25" s="32">
        <f>'[43]2020 - 2025'!Y25+'[44]2020-2025'!Y25</f>
        <v>0</v>
      </c>
      <c r="Z25" s="32">
        <f>'[45]2020 - 2025'!Z25+'[46]2020-2025'!Z25</f>
        <v>0</v>
      </c>
      <c r="AA25" s="32">
        <f>'[47]2020 - 2026'!AA25+'[48]2020-2026'!AA25</f>
        <v>0</v>
      </c>
    </row>
    <row r="26" spans="1:27" ht="15" customHeight="1" x14ac:dyDescent="0.15">
      <c r="B26" s="2" t="s">
        <v>37</v>
      </c>
      <c r="C26" s="32">
        <f>'[1]2015 - 2019'!S26+'[2]2015-2019'!S26</f>
        <v>0</v>
      </c>
      <c r="D26" s="32">
        <f>'[3]2015 - 2019'!T26+'[4]2015-2019'!T26</f>
        <v>0</v>
      </c>
      <c r="E26" s="32">
        <f>'[5]2015 - 2019'!U26+'[6]2015-2019'!U26</f>
        <v>0</v>
      </c>
      <c r="F26" s="32">
        <f>'[7]2015 - 2019'!V26+'[8]2015-2019'!V26</f>
        <v>0</v>
      </c>
      <c r="G26" s="32">
        <f>'[9]2015 - 2019'!W26+'[10]2016-2021'!W26</f>
        <v>0</v>
      </c>
      <c r="H26" s="32">
        <f>'[11]2016 - 2021'!X26+'[12]2016-2021'!X26</f>
        <v>0</v>
      </c>
      <c r="I26" s="32">
        <f>'[13]2016 - 2021'!Y26+'[14]2016-2021'!Y26</f>
        <v>0</v>
      </c>
      <c r="J26" s="32">
        <f>'[15]2016 - 2021'!Z26+'[16]2016-2021'!Z26</f>
        <v>0</v>
      </c>
      <c r="K26" s="32">
        <f>'[17]2018 - 2022'!S26+'[18]2018-2022'!S26</f>
        <v>0</v>
      </c>
      <c r="L26" s="32">
        <f>'[19]2018 - 2022'!T26+'[20]2018-2022'!T26</f>
        <v>0</v>
      </c>
      <c r="M26" s="32">
        <f>'[21]2018 - 2022'!U26+'[22]2018-2022'!U26</f>
        <v>0</v>
      </c>
      <c r="N26" s="32">
        <f>'[23]2018 - 2023'!V26+'[24]2018-2023'!V26</f>
        <v>0</v>
      </c>
      <c r="O26" s="32">
        <f>'[23]2018 - 2023'!W26+'[24]2018-2023'!W26</f>
        <v>0</v>
      </c>
      <c r="P26" s="32">
        <f>'[25]2018 - 2023'!X26+'[26]2018-2023'!X26</f>
        <v>0</v>
      </c>
      <c r="Q26" s="32">
        <f>'[27]2018 - 2023'!Y26+'[28]2018-2023'!Y26</f>
        <v>0</v>
      </c>
      <c r="R26" s="32">
        <f>'[29]2018 - 2023'!Z26+'[30]2018-2023'!Z26</f>
        <v>0</v>
      </c>
      <c r="S26" s="32">
        <f>'[31]2020 - 2024'!S26+'[32]2020-2024'!S26</f>
        <v>0</v>
      </c>
      <c r="T26" s="32">
        <f>'[33]2020 - 2024'!T26+'[34]2020-2024'!T26</f>
        <v>0</v>
      </c>
      <c r="U26" s="32">
        <f>'[35]2020 - 2024'!U26+'[36]2020-2024'!U26</f>
        <v>0</v>
      </c>
      <c r="V26" s="32">
        <f>'[37]2020 - 2024'!V26+'[38]2020-2024'!V26</f>
        <v>0</v>
      </c>
      <c r="W26" s="32">
        <f>'[39]2020 - 2025'!W26+'[40]2020-2025'!W26</f>
        <v>0</v>
      </c>
      <c r="X26" s="32">
        <f>'[41]2020 - 2025'!X26+'[42]2020-2025'!X26</f>
        <v>0</v>
      </c>
      <c r="Y26" s="32">
        <f>'[43]2020 - 2025'!Y26+'[44]2020-2025'!Y26</f>
        <v>0</v>
      </c>
      <c r="Z26" s="32">
        <f>'[45]2020 - 2025'!Z26+'[46]2020-2025'!Z26</f>
        <v>0</v>
      </c>
      <c r="AA26" s="32">
        <f>'[47]2020 - 2026'!AA26+'[48]2020-2026'!AA26</f>
        <v>0</v>
      </c>
    </row>
    <row r="27" spans="1:27" ht="15" customHeight="1" x14ac:dyDescent="0.15">
      <c r="B27" s="2" t="s">
        <v>49</v>
      </c>
      <c r="C27" s="32">
        <f>'[1]2015 - 2019'!S27+'[2]2015-2019'!S27</f>
        <v>0</v>
      </c>
      <c r="D27" s="32">
        <f>'[3]2015 - 2019'!T27+'[4]2015-2019'!T27</f>
        <v>0</v>
      </c>
      <c r="E27" s="32">
        <f>'[5]2015 - 2019'!U27+'[6]2015-2019'!U27</f>
        <v>0</v>
      </c>
      <c r="F27" s="32">
        <f>'[7]2015 - 2019'!V27+'[8]2015-2019'!V27</f>
        <v>0</v>
      </c>
      <c r="G27" s="32">
        <f>'[9]2015 - 2019'!W27+'[10]2016-2021'!W27</f>
        <v>0</v>
      </c>
      <c r="H27" s="32">
        <f>'[11]2016 - 2021'!X27+'[12]2016-2021'!X27</f>
        <v>0</v>
      </c>
      <c r="I27" s="32">
        <f>'[13]2016 - 2021'!Y27+'[14]2016-2021'!Y27</f>
        <v>0</v>
      </c>
      <c r="J27" s="32">
        <f>'[15]2016 - 2021'!Z27+'[16]2016-2021'!Z27</f>
        <v>0</v>
      </c>
      <c r="K27" s="32">
        <f>'[17]2018 - 2022'!S27+'[18]2018-2022'!S27</f>
        <v>0</v>
      </c>
      <c r="L27" s="32">
        <f>'[19]2018 - 2022'!T27+'[20]2018-2022'!T27</f>
        <v>0</v>
      </c>
      <c r="M27" s="32">
        <f>'[21]2018 - 2022'!U27+'[22]2018-2022'!U27</f>
        <v>0</v>
      </c>
      <c r="N27" s="32">
        <f>'[23]2018 - 2023'!V27+'[24]2018-2023'!V27</f>
        <v>0</v>
      </c>
      <c r="O27" s="32">
        <f>'[23]2018 - 2023'!W27+'[24]2018-2023'!W27</f>
        <v>0</v>
      </c>
      <c r="P27" s="32">
        <f>'[25]2018 - 2023'!X27+'[26]2018-2023'!X27</f>
        <v>0</v>
      </c>
      <c r="Q27" s="32">
        <f>'[27]2018 - 2023'!Y27+'[28]2018-2023'!Y27</f>
        <v>0</v>
      </c>
      <c r="R27" s="32">
        <f>'[29]2018 - 2023'!Z27+'[30]2018-2023'!Z27</f>
        <v>0</v>
      </c>
      <c r="S27" s="32">
        <f>'[31]2020 - 2024'!S27+'[32]2020-2024'!S27</f>
        <v>0</v>
      </c>
      <c r="T27" s="32">
        <f>'[33]2020 - 2024'!T27+'[34]2020-2024'!T27</f>
        <v>0</v>
      </c>
      <c r="U27" s="32">
        <f>'[35]2020 - 2024'!U27+'[36]2020-2024'!U27</f>
        <v>0</v>
      </c>
      <c r="V27" s="32">
        <f>'[37]2020 - 2024'!V27+'[38]2020-2024'!V27</f>
        <v>0</v>
      </c>
      <c r="W27" s="32">
        <f>'[39]2020 - 2025'!W27+'[40]2020-2025'!W27</f>
        <v>0</v>
      </c>
      <c r="X27" s="32">
        <f>'[41]2020 - 2025'!X27+'[42]2020-2025'!X27</f>
        <v>0</v>
      </c>
      <c r="Y27" s="32">
        <f>'[43]2020 - 2025'!Y27+'[44]2020-2025'!Y27</f>
        <v>0</v>
      </c>
      <c r="Z27" s="32">
        <f>'[45]2020 - 2025'!Z27+'[46]2020-2025'!Z27</f>
        <v>0</v>
      </c>
      <c r="AA27" s="32">
        <f>'[47]2020 - 2026'!AA27+'[48]2020-2026'!AA27</f>
        <v>0</v>
      </c>
    </row>
    <row r="28" spans="1:27" ht="15" customHeight="1" x14ac:dyDescent="0.15">
      <c r="B28" s="12" t="s">
        <v>64</v>
      </c>
      <c r="C28" s="32">
        <f>'[1]2015 - 2019'!S28+'[2]2015-2019'!S28</f>
        <v>111979</v>
      </c>
      <c r="D28" s="32">
        <f>'[3]2015 - 2019'!T28+'[4]2015-2019'!T28</f>
        <v>0</v>
      </c>
      <c r="E28" s="32">
        <f>'[5]2015 - 2019'!U28+'[6]2015-2019'!U28</f>
        <v>0</v>
      </c>
      <c r="F28" s="32">
        <f>'[7]2015 - 2019'!V28+'[8]2015-2019'!V28</f>
        <v>0</v>
      </c>
      <c r="G28" s="32">
        <f>'[9]2015 - 2019'!W28+'[10]2016-2021'!W28</f>
        <v>0</v>
      </c>
      <c r="H28" s="32">
        <f>'[11]2016 - 2021'!X28+'[12]2016-2021'!X28</f>
        <v>0</v>
      </c>
      <c r="I28" s="32">
        <f>'[13]2016 - 2021'!Y28+'[14]2016-2021'!Y28</f>
        <v>0</v>
      </c>
      <c r="J28" s="32">
        <f>'[15]2016 - 2021'!Z28+'[16]2016-2021'!Z28</f>
        <v>0</v>
      </c>
      <c r="K28" s="32">
        <f>'[17]2018 - 2022'!S28+'[18]2018-2022'!S28</f>
        <v>0</v>
      </c>
      <c r="L28" s="32">
        <f>'[19]2018 - 2022'!T28+'[20]2018-2022'!T28</f>
        <v>0</v>
      </c>
      <c r="M28" s="32">
        <f>'[21]2018 - 2022'!U28+'[22]2018-2022'!U28</f>
        <v>0</v>
      </c>
      <c r="N28" s="32">
        <f>'[23]2018 - 2023'!V28+'[24]2018-2023'!V28</f>
        <v>0</v>
      </c>
      <c r="O28" s="32">
        <f>'[23]2018 - 2023'!W28+'[24]2018-2023'!W28</f>
        <v>0</v>
      </c>
      <c r="P28" s="32">
        <f>'[25]2018 - 2023'!X28+'[26]2018-2023'!X28</f>
        <v>0</v>
      </c>
      <c r="Q28" s="32">
        <f>'[27]2018 - 2023'!Y28+'[28]2018-2023'!Y28</f>
        <v>0</v>
      </c>
      <c r="R28" s="32">
        <f>'[29]2018 - 2023'!Z28+'[30]2018-2023'!Z28</f>
        <v>0</v>
      </c>
      <c r="S28" s="32">
        <f>'[31]2020 - 2024'!S28+'[32]2020-2024'!S28</f>
        <v>0</v>
      </c>
      <c r="T28" s="32">
        <f>'[33]2020 - 2024'!T28+'[34]2020-2024'!T28</f>
        <v>0</v>
      </c>
      <c r="U28" s="32">
        <f>'[35]2020 - 2024'!U28+'[36]2020-2024'!U28</f>
        <v>0</v>
      </c>
      <c r="V28" s="32">
        <f>'[37]2020 - 2024'!V28+'[38]2020-2024'!V28</f>
        <v>54783.197999999997</v>
      </c>
      <c r="W28" s="32">
        <f>'[39]2020 - 2025'!W28+'[40]2020-2025'!W28</f>
        <v>55601.038</v>
      </c>
      <c r="X28" s="32">
        <f>'[41]2020 - 2025'!X28+'[42]2020-2025'!X28</f>
        <v>73484.766000000003</v>
      </c>
      <c r="Y28" s="32">
        <f>'[43]2020 - 2025'!Y28+'[44]2020-2025'!Y28</f>
        <v>73484.766000000003</v>
      </c>
      <c r="Z28" s="32">
        <f>'[45]2020 - 2025'!Z28+'[46]2020-2025'!Z28</f>
        <v>73484.767999999996</v>
      </c>
      <c r="AA28" s="32">
        <f>'[47]2020 - 2026'!AA28+'[48]2020-2026'!AA28</f>
        <v>73484.767999999996</v>
      </c>
    </row>
    <row r="29" spans="1:27" ht="15" customHeight="1" x14ac:dyDescent="0.15">
      <c r="B29" s="12" t="s">
        <v>90</v>
      </c>
      <c r="C29" s="32">
        <f>'[1]2015 - 2019'!S29+'[2]2015-2019'!S29</f>
        <v>0</v>
      </c>
      <c r="D29" s="32">
        <f>'[3]2015 - 2019'!T29+'[4]2015-2019'!T29</f>
        <v>0</v>
      </c>
      <c r="E29" s="32">
        <f>'[5]2015 - 2019'!U29+'[6]2015-2019'!U29</f>
        <v>0</v>
      </c>
      <c r="F29" s="32">
        <f>'[7]2015 - 2019'!V29+'[8]2015-2019'!V29</f>
        <v>0</v>
      </c>
      <c r="G29" s="32">
        <f>'[9]2015 - 2019'!W29+'[10]2016-2021'!W29</f>
        <v>0</v>
      </c>
      <c r="H29" s="32">
        <f>'[11]2016 - 2021'!X29+'[12]2016-2021'!X29</f>
        <v>0</v>
      </c>
      <c r="I29" s="32">
        <f>'[13]2016 - 2021'!Y29+'[14]2016-2021'!Y29</f>
        <v>0</v>
      </c>
      <c r="J29" s="32">
        <f>'[15]2016 - 2021'!Z29+'[16]2016-2021'!Z29</f>
        <v>0</v>
      </c>
      <c r="K29" s="32">
        <f>'[17]2018 - 2022'!S29+'[18]2018-2022'!S29</f>
        <v>0</v>
      </c>
      <c r="L29" s="32">
        <f>'[19]2018 - 2022'!T29+'[20]2018-2022'!T29</f>
        <v>0</v>
      </c>
      <c r="M29" s="32">
        <f>'[21]2018 - 2022'!U29+'[22]2018-2022'!U29</f>
        <v>0</v>
      </c>
      <c r="N29" s="32">
        <f>'[23]2018 - 2023'!V29+'[24]2018-2023'!V29</f>
        <v>0</v>
      </c>
      <c r="O29" s="32">
        <f>'[23]2018 - 2023'!W29+'[24]2018-2023'!W29</f>
        <v>0</v>
      </c>
      <c r="P29" s="32">
        <f>'[25]2018 - 2023'!X29+'[26]2018-2023'!X29</f>
        <v>0</v>
      </c>
      <c r="Q29" s="32">
        <f>'[27]2018 - 2023'!Y29+'[28]2018-2023'!Y29</f>
        <v>0</v>
      </c>
      <c r="R29" s="32">
        <f>'[29]2018 - 2023'!Z29+'[30]2018-2023'!Z29</f>
        <v>0</v>
      </c>
      <c r="S29" s="32">
        <f>'[31]2020 - 2024'!S29+'[32]2020-2024'!S29</f>
        <v>0</v>
      </c>
      <c r="T29" s="32">
        <f>'[33]2020 - 2024'!T29+'[34]2020-2024'!T29</f>
        <v>0</v>
      </c>
      <c r="U29" s="32">
        <f>'[35]2020 - 2024'!U29+'[36]2020-2024'!U29</f>
        <v>0</v>
      </c>
      <c r="V29" s="32">
        <f>'[37]2020 - 2024'!V29+'[38]2020-2024'!V29</f>
        <v>0</v>
      </c>
      <c r="W29" s="32">
        <f>'[39]2020 - 2025'!W29+'[40]2020-2025'!W29</f>
        <v>0</v>
      </c>
      <c r="X29" s="32">
        <f>'[41]2020 - 2025'!X29+'[42]2020-2025'!X29</f>
        <v>0</v>
      </c>
      <c r="Y29" s="32">
        <f>'[43]2020 - 2025'!Y29+'[44]2020-2025'!Y29</f>
        <v>0</v>
      </c>
      <c r="Z29" s="32">
        <f>'[45]2020 - 2025'!Z29+'[46]2020-2025'!Z29</f>
        <v>0</v>
      </c>
      <c r="AA29" s="32">
        <f>'[47]2020 - 2026'!AA29+'[48]2020-2026'!AA29</f>
        <v>0</v>
      </c>
    </row>
    <row r="30" spans="1:27" ht="15.95" customHeight="1" x14ac:dyDescent="0.15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ht="15.95" customHeight="1" x14ac:dyDescent="0.15">
      <c r="B31" s="10" t="s">
        <v>38</v>
      </c>
      <c r="C31" s="19">
        <f t="shared" ref="C31:H31" si="45">SUM(C32:C36)</f>
        <v>4103204</v>
      </c>
      <c r="D31" s="19">
        <f t="shared" si="45"/>
        <v>4181452</v>
      </c>
      <c r="E31" s="19">
        <f t="shared" si="45"/>
        <v>4287969</v>
      </c>
      <c r="F31" s="19">
        <f t="shared" si="45"/>
        <v>4375351.2920000004</v>
      </c>
      <c r="G31" s="19">
        <f t="shared" si="45"/>
        <v>4599216.85097</v>
      </c>
      <c r="H31" s="19">
        <f t="shared" si="45"/>
        <v>4628522.4024400003</v>
      </c>
      <c r="I31" s="19">
        <f t="shared" ref="I31:J31" si="46">SUM(I32:I36)</f>
        <v>4914006.8725300003</v>
      </c>
      <c r="J31" s="19">
        <f t="shared" si="46"/>
        <v>5020092.5687700007</v>
      </c>
      <c r="K31" s="19">
        <f t="shared" ref="K31:L31" si="47">SUM(K32:K36)</f>
        <v>4778640.72798</v>
      </c>
      <c r="L31" s="19">
        <f t="shared" si="47"/>
        <v>4518268.7133300006</v>
      </c>
      <c r="M31" s="19">
        <f t="shared" ref="M31" si="48">SUM(M32:M36)</f>
        <v>4497361.93891</v>
      </c>
      <c r="N31" s="19">
        <f t="shared" ref="N31:O31" si="49">SUM(N32:N36)</f>
        <v>4806165.9461899996</v>
      </c>
      <c r="O31" s="19">
        <f t="shared" si="49"/>
        <v>4898879.3611200005</v>
      </c>
      <c r="P31" s="19">
        <f t="shared" ref="P31:Q31" si="50">SUM(P32:P36)</f>
        <v>5406142.5244899997</v>
      </c>
      <c r="Q31" s="19">
        <f t="shared" si="50"/>
        <v>5096292.2768599996</v>
      </c>
      <c r="R31" s="19">
        <f t="shared" ref="R31:S31" si="51">SUM(R32:R36)</f>
        <v>5196967.9363800008</v>
      </c>
      <c r="S31" s="19">
        <f t="shared" si="51"/>
        <v>5488017.2718899995</v>
      </c>
      <c r="T31" s="19">
        <f t="shared" ref="T31:U31" si="52">SUM(T32:T36)</f>
        <v>5364842.7843199996</v>
      </c>
      <c r="U31" s="19">
        <f t="shared" si="52"/>
        <v>4938778.3085000003</v>
      </c>
      <c r="V31" s="19">
        <f t="shared" ref="V31" si="53">SUM(V32:V36)</f>
        <v>4722616.0667599998</v>
      </c>
      <c r="W31" s="19">
        <f>'[39]2020 - 2025'!W31+'[40]2020-2025'!W31</f>
        <v>4820050.58103</v>
      </c>
      <c r="X31" s="19">
        <f>'[41]2020 - 2025'!X31+'[42]2020-2025'!X31</f>
        <v>5029895.9429000001</v>
      </c>
      <c r="Y31" s="19">
        <f>'[43]2020 - 2025'!Y31+'[44]2020-2025'!Y31</f>
        <v>4910258.5047200006</v>
      </c>
      <c r="Z31" s="19">
        <f>'[45]2020 - 2025'!Z31+'[46]2020-2025'!Z31</f>
        <v>5549464.5968899997</v>
      </c>
      <c r="AA31" s="19">
        <f>'[47]2020 - 2026'!AA31+'[48]2020-2026'!AA31</f>
        <v>5547100.93824</v>
      </c>
    </row>
    <row r="32" spans="1:27" ht="15" customHeight="1" x14ac:dyDescent="0.15">
      <c r="B32" s="16" t="s">
        <v>20</v>
      </c>
      <c r="C32" s="32">
        <f>'[1]2015 - 2019'!S32+'[2]2015-2019'!S32</f>
        <v>582111</v>
      </c>
      <c r="D32" s="32">
        <f>'[3]2015 - 2019'!T32+'[4]2015-2019'!T32</f>
        <v>619449</v>
      </c>
      <c r="E32" s="32">
        <f>'[5]2015 - 2019'!U32+'[6]2015-2019'!U32</f>
        <v>635350</v>
      </c>
      <c r="F32" s="32">
        <f>'[7]2015 - 2019'!V32+'[8]2015-2019'!V32</f>
        <v>611027.75300000003</v>
      </c>
      <c r="G32" s="32">
        <f>'[9]2015 - 2019'!W32+'[10]2016-2021'!W32</f>
        <v>619890.978</v>
      </c>
      <c r="H32" s="32">
        <f>'[11]2016 - 2021'!X32+'[12]2016-2021'!X32</f>
        <v>616844.05700000003</v>
      </c>
      <c r="I32" s="32">
        <f>'[13]2016 - 2021'!Y32+'[14]2016-2021'!Y32</f>
        <v>597344.57700000005</v>
      </c>
      <c r="J32" s="32">
        <f>'[15]2016 - 2021'!Z32+'[16]2016-2021'!Z32</f>
        <v>603768.06200000003</v>
      </c>
      <c r="K32" s="32">
        <f>'[17]2018 - 2022'!S32+'[18]2018-2022'!S32</f>
        <v>604731.89500000002</v>
      </c>
      <c r="L32" s="32">
        <f>'[19]2018 - 2022'!T32+'[20]2018-2022'!T32</f>
        <v>602035.48600000003</v>
      </c>
      <c r="M32" s="32">
        <f>'[21]2018 - 2022'!U32+'[22]2018-2022'!U32</f>
        <v>612416.56900000002</v>
      </c>
      <c r="N32" s="32">
        <f>'[23]2018 - 2023'!V32+'[24]2018-2023'!V32</f>
        <v>660601.00199999998</v>
      </c>
      <c r="O32" s="32">
        <f>'[23]2018 - 2023'!W32+'[24]2018-2023'!W32</f>
        <v>685395.54299999995</v>
      </c>
      <c r="P32" s="32">
        <f>'[25]2018 - 2023'!X32+'[26]2018-2023'!X32</f>
        <v>719167.95400000003</v>
      </c>
      <c r="Q32" s="32">
        <f>'[27]2018 - 2023'!Y32+'[28]2018-2023'!Y32</f>
        <v>670673.93900000001</v>
      </c>
      <c r="R32" s="32">
        <f>'[29]2018 - 2023'!Z32+'[30]2018-2023'!Z32</f>
        <v>691381.14800000004</v>
      </c>
      <c r="S32" s="32">
        <f>'[31]2020 - 2024'!S32+'[32]2020-2024'!S32</f>
        <v>692629.26699999999</v>
      </c>
      <c r="T32" s="32">
        <f>'[33]2020 - 2024'!T32+'[34]2020-2024'!T32</f>
        <v>654399.57799999998</v>
      </c>
      <c r="U32" s="32">
        <f>'[35]2020 - 2024'!U32+'[36]2020-2024'!U32</f>
        <v>563366.12300000002</v>
      </c>
      <c r="V32" s="32">
        <f>'[37]2020 - 2024'!V32+'[38]2020-2024'!V32</f>
        <v>117283.22500000001</v>
      </c>
      <c r="W32" s="32">
        <f>'[39]2020 - 2025'!W32+'[40]2020-2025'!W32</f>
        <v>123519.853</v>
      </c>
      <c r="X32" s="32">
        <f>'[41]2020 - 2025'!X32+'[42]2020-2025'!X32</f>
        <v>120756.95699999999</v>
      </c>
      <c r="Y32" s="32">
        <f>'[43]2020 - 2025'!Y32+'[44]2020-2025'!Y32</f>
        <v>125963.959</v>
      </c>
      <c r="Z32" s="32">
        <f>'[45]2020 - 2025'!Z32+'[46]2020-2025'!Z32</f>
        <v>136239.038</v>
      </c>
      <c r="AA32" s="32">
        <f>'[47]2020 - 2026'!AA32+'[48]2020-2026'!AA32</f>
        <v>133755.32717</v>
      </c>
    </row>
    <row r="33" spans="1:27" ht="15" customHeight="1" x14ac:dyDescent="0.15">
      <c r="B33" s="12" t="s">
        <v>47</v>
      </c>
      <c r="C33" s="32">
        <f>26888+198656</f>
        <v>225544</v>
      </c>
      <c r="D33" s="32">
        <f>'[3]2015 - 2019'!T33+'[4]2015-2019'!T33</f>
        <v>309390</v>
      </c>
      <c r="E33" s="32">
        <f>'[5]2015 - 2019'!U33+'[6]2015-2019'!U33</f>
        <v>185879</v>
      </c>
      <c r="F33" s="32">
        <f>'[7]2015 - 2019'!V33+'[8]2015-2019'!V33</f>
        <v>192498.42499999999</v>
      </c>
      <c r="G33" s="32">
        <f>'[9]2015 - 2019'!W33+'[10]2016-2021'!W33</f>
        <v>224814.09954</v>
      </c>
      <c r="H33" s="32">
        <f>'[11]2016 - 2021'!X33+'[12]2016-2021'!X33</f>
        <v>204427.56779</v>
      </c>
      <c r="I33" s="32">
        <f>'[13]2016 - 2021'!Y33+'[14]2016-2021'!Y33</f>
        <v>192951.09202000001</v>
      </c>
      <c r="J33" s="32">
        <f>'[15]2016 - 2021'!Z33+'[16]2016-2021'!Z33</f>
        <v>188115.02106</v>
      </c>
      <c r="K33" s="32">
        <f>'[17]2018 - 2022'!S33+'[18]2018-2022'!S33</f>
        <v>159345.21418000001</v>
      </c>
      <c r="L33" s="32">
        <f>'[19]2018 - 2022'!T33+'[20]2018-2022'!T33</f>
        <v>96803.42555</v>
      </c>
      <c r="M33" s="32">
        <f>'[21]2018 - 2022'!U33+'[22]2018-2022'!U33</f>
        <v>85353.337899999999</v>
      </c>
      <c r="N33" s="32">
        <f>'[23]2018 - 2023'!V33+'[24]2018-2023'!V33</f>
        <v>80401.183799999999</v>
      </c>
      <c r="O33" s="32">
        <f>'[23]2018 - 2023'!W33+'[24]2018-2023'!W33</f>
        <v>36825.617709999999</v>
      </c>
      <c r="P33" s="32">
        <f>'[25]2018 - 2023'!X33+'[26]2018-2023'!X33</f>
        <v>146581.99557999999</v>
      </c>
      <c r="Q33" s="32">
        <f>'[27]2018 - 2023'!Y33+'[28]2018-2023'!Y33</f>
        <v>125800.69358000001</v>
      </c>
      <c r="R33" s="32">
        <f>'[29]2018 - 2023'!Z33+'[30]2018-2023'!Z33</f>
        <v>95610.680649999995</v>
      </c>
      <c r="S33" s="32">
        <f>'[31]2020 - 2024'!S33+'[32]2020-2024'!S33</f>
        <v>95360.983319999999</v>
      </c>
      <c r="T33" s="32">
        <f>'[33]2020 - 2024'!T33+'[34]2020-2024'!T33</f>
        <v>90407.587700000004</v>
      </c>
      <c r="U33" s="32">
        <f>'[35]2020 - 2024'!U33+'[36]2020-2024'!U33</f>
        <v>93547.852960000004</v>
      </c>
      <c r="V33" s="32">
        <f>'[37]2020 - 2024'!V33+'[38]2020-2024'!V33</f>
        <v>88660.374309999999</v>
      </c>
      <c r="W33" s="32">
        <f>'[39]2020 - 2025'!W33+'[40]2020-2025'!W33</f>
        <v>55427.726620000001</v>
      </c>
      <c r="X33" s="32">
        <f>'[41]2020 - 2025'!X33+'[42]2020-2025'!X33</f>
        <v>40444.84274</v>
      </c>
      <c r="Y33" s="32">
        <f>'[43]2020 - 2025'!Y33+'[44]2020-2025'!Y33</f>
        <v>73472.295859999998</v>
      </c>
      <c r="Z33" s="32">
        <f>'[45]2020 - 2025'!Z33+'[46]2020-2025'!Z33</f>
        <v>131164.08304999999</v>
      </c>
      <c r="AA33" s="32">
        <f>'[47]2020 - 2026'!AA33+'[48]2020-2026'!AA33</f>
        <v>127873.67453</v>
      </c>
    </row>
    <row r="34" spans="1:27" ht="15" customHeight="1" x14ac:dyDescent="0.15">
      <c r="B34" s="12" t="s">
        <v>64</v>
      </c>
      <c r="C34" s="32">
        <f>66571+274953</f>
        <v>341524</v>
      </c>
      <c r="D34" s="32">
        <f>'[3]2015 - 2019'!T34+'[4]2015-2019'!T34</f>
        <v>349359</v>
      </c>
      <c r="E34" s="32">
        <f>'[5]2015 - 2019'!U34+'[6]2015-2019'!U34</f>
        <v>369655</v>
      </c>
      <c r="F34" s="32">
        <f>'[7]2015 - 2019'!V34+'[8]2015-2019'!V34</f>
        <v>338728.49900000001</v>
      </c>
      <c r="G34" s="32">
        <f>'[9]2015 - 2019'!W34+'[10]2016-2021'!W34</f>
        <v>353016.98189</v>
      </c>
      <c r="H34" s="32">
        <f>'[11]2016 - 2021'!X34+'[12]2016-2021'!X34</f>
        <v>253155.53638999999</v>
      </c>
      <c r="I34" s="32">
        <f>'[13]2016 - 2021'!Y34+'[14]2016-2021'!Y34</f>
        <v>320898.82218999998</v>
      </c>
      <c r="J34" s="32">
        <f>'[15]2016 - 2021'!Z34+'[16]2016-2021'!Z34</f>
        <v>338162.70405</v>
      </c>
      <c r="K34" s="32">
        <f>'[17]2018 - 2022'!S34+'[18]2018-2022'!S34</f>
        <v>343606.36086000002</v>
      </c>
      <c r="L34" s="32">
        <f>'[19]2018 - 2022'!T34+'[20]2018-2022'!T34</f>
        <v>434693.75095999998</v>
      </c>
      <c r="M34" s="32">
        <f>'[21]2018 - 2022'!U34+'[22]2018-2022'!U34</f>
        <v>452928.89236</v>
      </c>
      <c r="N34" s="32">
        <f>'[23]2018 - 2023'!V34+'[24]2018-2023'!V34</f>
        <v>445614.97892000002</v>
      </c>
      <c r="O34" s="32">
        <f>'[23]2018 - 2023'!W34+'[24]2018-2023'!W34</f>
        <v>436244.79811999999</v>
      </c>
      <c r="P34" s="32">
        <f>'[25]2018 - 2023'!X34+'[26]2018-2023'!X34</f>
        <v>541133.47834999999</v>
      </c>
      <c r="Q34" s="32">
        <f>'[27]2018 - 2023'!Y34+'[28]2018-2023'!Y34</f>
        <v>470911.41424999997</v>
      </c>
      <c r="R34" s="32">
        <f>'[29]2018 - 2023'!Z34+'[30]2018-2023'!Z34</f>
        <v>465376.45962000004</v>
      </c>
      <c r="S34" s="32">
        <f>'[31]2020 - 2024'!S34+'[32]2020-2024'!S34</f>
        <v>461641.79876000003</v>
      </c>
      <c r="T34" s="32">
        <f>'[33]2020 - 2024'!T34+'[34]2020-2024'!T34</f>
        <v>434348.88089000003</v>
      </c>
      <c r="U34" s="32">
        <f>'[35]2020 - 2024'!U34+'[36]2020-2024'!U34</f>
        <v>391166.36914999998</v>
      </c>
      <c r="V34" s="32">
        <f>'[37]2020 - 2024'!V34+'[38]2020-2024'!V34</f>
        <v>357714.25082000002</v>
      </c>
      <c r="W34" s="32">
        <f>'[39]2020 - 2025'!W34+'[40]2020-2025'!W34</f>
        <v>357254.49142999999</v>
      </c>
      <c r="X34" s="32">
        <f>'[41]2020 - 2025'!X34+'[42]2020-2025'!X34</f>
        <v>373771.25780999998</v>
      </c>
      <c r="Y34" s="32">
        <f>'[43]2020 - 2025'!Y34+'[44]2020-2025'!Y34</f>
        <v>331269.13517999998</v>
      </c>
      <c r="Z34" s="32">
        <f>'[45]2020 - 2025'!Z34+'[46]2020-2025'!Z34</f>
        <v>304172.01236999995</v>
      </c>
      <c r="AA34" s="32">
        <f>'[47]2020 - 2026'!AA34+'[48]2020-2026'!AA34</f>
        <v>259416.70349000001</v>
      </c>
    </row>
    <row r="35" spans="1:27" s="25" customFormat="1" ht="15" customHeight="1" x14ac:dyDescent="0.15">
      <c r="A35" s="23"/>
      <c r="B35" s="12" t="s">
        <v>81</v>
      </c>
      <c r="C35" s="32">
        <f>'[1]2015 - 2019'!S35+'[2]2015-2019'!S35</f>
        <v>55687</v>
      </c>
      <c r="D35" s="32">
        <f>'[3]2015 - 2019'!T35+'[4]2015-2019'!T35</f>
        <v>51989</v>
      </c>
      <c r="E35" s="32">
        <f>'[5]2015 - 2019'!U35+'[6]2015-2019'!U35</f>
        <v>52109</v>
      </c>
      <c r="F35" s="32">
        <f>'[7]2015 - 2019'!V35+'[8]2015-2019'!V35</f>
        <v>47060.828000000001</v>
      </c>
      <c r="G35" s="32">
        <f>'[9]2015 - 2019'!W35+'[10]2016-2021'!W35</f>
        <v>45689.833980000003</v>
      </c>
      <c r="H35" s="32">
        <f>'[11]2016 - 2021'!X35+'[12]2016-2021'!X35</f>
        <v>41421.290209999999</v>
      </c>
      <c r="I35" s="32">
        <f>'[13]2016 - 2021'!Y35+'[14]2016-2021'!Y35</f>
        <v>98369.020220000006</v>
      </c>
      <c r="J35" s="32">
        <f>'[15]2016 - 2021'!Z35+'[16]2016-2021'!Z35</f>
        <v>103270.92507</v>
      </c>
      <c r="K35" s="32">
        <f>'[17]2018 - 2022'!S35+'[18]2018-2022'!S35</f>
        <v>86459.936919999993</v>
      </c>
      <c r="L35" s="32">
        <f>'[19]2018 - 2022'!T35+'[20]2018-2022'!T35</f>
        <v>90644.633879999994</v>
      </c>
      <c r="M35" s="32">
        <f>'[21]2018 - 2022'!U35+'[22]2018-2022'!U35</f>
        <v>80872.298269999999</v>
      </c>
      <c r="N35" s="32">
        <f>'[23]2018 - 2023'!V35+'[24]2018-2023'!V35</f>
        <v>70951.187969999999</v>
      </c>
      <c r="O35" s="32">
        <f>'[23]2018 - 2023'!W35+'[24]2018-2023'!W35</f>
        <v>59901.954879999998</v>
      </c>
      <c r="P35" s="32">
        <f>'[25]2018 - 2023'!X35+'[26]2018-2023'!X35</f>
        <v>187332.37546000001</v>
      </c>
      <c r="Q35" s="32">
        <f>'[27]2018 - 2023'!Y35+'[28]2018-2023'!Y35</f>
        <v>200648.34752000001</v>
      </c>
      <c r="R35" s="32">
        <f>'[29]2018 - 2023'!Z35+'[30]2018-2023'!Z35</f>
        <v>188971.64644000001</v>
      </c>
      <c r="S35" s="32">
        <f>'[31]2020 - 2024'!S35+'[32]2020-2024'!S35</f>
        <v>200448.52241000001</v>
      </c>
      <c r="T35" s="32">
        <f>'[33]2020 - 2024'!T35+'[34]2020-2024'!T35</f>
        <v>223497.74777999998</v>
      </c>
      <c r="U35" s="32">
        <f>'[35]2020 - 2024'!U35+'[36]2020-2024'!U35</f>
        <v>226228.82691</v>
      </c>
      <c r="V35" s="32">
        <f>'[37]2020 - 2024'!V35+'[38]2020-2024'!V35</f>
        <v>233815.13297000001</v>
      </c>
      <c r="W35" s="32">
        <f>'[39]2020 - 2025'!W35+'[40]2020-2025'!W35</f>
        <v>240061.9339</v>
      </c>
      <c r="X35" s="32">
        <f>'[41]2020 - 2025'!X35+'[42]2020-2025'!X35</f>
        <v>231680.5558</v>
      </c>
      <c r="Y35" s="32">
        <f>'[43]2020 - 2025'!Y35+'[44]2020-2025'!Y35</f>
        <v>232209.30647000001</v>
      </c>
      <c r="Z35" s="32">
        <f>'[45]2020 - 2025'!Z35+'[46]2020-2025'!Z35</f>
        <v>241861.31842</v>
      </c>
      <c r="AA35" s="32">
        <f>'[47]2020 - 2026'!AA35+'[48]2020-2026'!AA35</f>
        <v>258727.78453</v>
      </c>
    </row>
    <row r="36" spans="1:27" s="25" customFormat="1" ht="15" customHeight="1" x14ac:dyDescent="0.15">
      <c r="A36" s="23"/>
      <c r="B36" s="12" t="s">
        <v>91</v>
      </c>
      <c r="C36" s="32">
        <f>70466+2827872</f>
        <v>2898338</v>
      </c>
      <c r="D36" s="32">
        <f>'[3]2015 - 2019'!T36+'[4]2015-2019'!T36</f>
        <v>2851265</v>
      </c>
      <c r="E36" s="32">
        <f>'[5]2015 - 2019'!U36+'[6]2015-2019'!U36</f>
        <v>3044976</v>
      </c>
      <c r="F36" s="32">
        <f>'[7]2015 - 2019'!V36+'[8]2015-2019'!V36</f>
        <v>3186035.787</v>
      </c>
      <c r="G36" s="32">
        <f>'[9]2015 - 2019'!W36+'[10]2016-2021'!W36</f>
        <v>3355804.95756</v>
      </c>
      <c r="H36" s="32">
        <f>'[11]2016 - 2021'!X36+'[12]2016-2021'!X36</f>
        <v>3512673.9510499998</v>
      </c>
      <c r="I36" s="32">
        <f>'[13]2016 - 2021'!Y36+'[14]2016-2021'!Y36</f>
        <v>3704443.3610999999</v>
      </c>
      <c r="J36" s="32">
        <f>'[15]2016 - 2021'!Z36+'[16]2016-2021'!Z36</f>
        <v>3786775.85659</v>
      </c>
      <c r="K36" s="32">
        <f>'[17]2018 - 2022'!S36+'[18]2018-2022'!S36</f>
        <v>3584497.3210200001</v>
      </c>
      <c r="L36" s="32">
        <f>'[19]2018 - 2022'!T36+'[20]2018-2022'!T36</f>
        <v>3294091.4169400004</v>
      </c>
      <c r="M36" s="32">
        <f>'[21]2018 - 2022'!U36+'[22]2018-2022'!U36</f>
        <v>3265790.8413800001</v>
      </c>
      <c r="N36" s="32">
        <f>'[23]2018 - 2023'!V36+'[24]2018-2023'!V36</f>
        <v>3548597.5935</v>
      </c>
      <c r="O36" s="32">
        <f>'[23]2018 - 2023'!W36+'[24]2018-2023'!W36</f>
        <v>3680511.44741</v>
      </c>
      <c r="P36" s="32">
        <f>'[25]2018 - 2023'!X36+'[26]2018-2023'!X36</f>
        <v>3811926.7210999997</v>
      </c>
      <c r="Q36" s="32">
        <f>'[27]2018 - 2023'!Y36+'[28]2018-2023'!Y36</f>
        <v>3628257.8825099999</v>
      </c>
      <c r="R36" s="32">
        <f>'[29]2018 - 2023'!Z36+'[30]2018-2023'!Z36</f>
        <v>3755628.0016700001</v>
      </c>
      <c r="S36" s="32">
        <f>'[31]2020 - 2024'!S36+'[32]2020-2024'!S36</f>
        <v>4037936.7004</v>
      </c>
      <c r="T36" s="32">
        <f>'[33]2020 - 2024'!T36+'[34]2020-2024'!T36</f>
        <v>3962188.9899499998</v>
      </c>
      <c r="U36" s="32">
        <f>'[35]2020 - 2024'!U36+'[36]2020-2024'!U36</f>
        <v>3664469.1364799999</v>
      </c>
      <c r="V36" s="32">
        <f>'[37]2020 - 2024'!V36+'[38]2020-2024'!V36</f>
        <v>3925143.08366</v>
      </c>
      <c r="W36" s="32">
        <f>'[39]2020 - 2025'!W36+'[40]2020-2025'!W36</f>
        <v>4043786.57608</v>
      </c>
      <c r="X36" s="32">
        <f>'[41]2020 - 2025'!X36+'[42]2020-2025'!X36</f>
        <v>4263242.3295499999</v>
      </c>
      <c r="Y36" s="32">
        <f>'[43]2020 - 2025'!Y36+'[44]2020-2025'!Y36</f>
        <v>4147343.8082099999</v>
      </c>
      <c r="Z36" s="32">
        <f>'[45]2020 - 2025'!Z36+'[46]2020-2025'!Z36</f>
        <v>4736028.1450500004</v>
      </c>
      <c r="AA36" s="32">
        <f>'[47]2020 - 2026'!AA36+'[48]2020-2026'!AA36</f>
        <v>4767327.4485199992</v>
      </c>
    </row>
    <row r="37" spans="1:27" ht="12" customHeight="1" x14ac:dyDescent="0.15">
      <c r="B37" s="2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5.95" customHeight="1" x14ac:dyDescent="0.15">
      <c r="A38" s="4">
        <v>3</v>
      </c>
      <c r="B38" s="7" t="s">
        <v>43</v>
      </c>
      <c r="C38" s="19">
        <f t="shared" ref="C38:D38" si="54">+C39+C46</f>
        <v>86307</v>
      </c>
      <c r="D38" s="19">
        <f t="shared" si="54"/>
        <v>233776</v>
      </c>
      <c r="E38" s="19">
        <f t="shared" ref="E38:F38" si="55">+E39+E46</f>
        <v>187670</v>
      </c>
      <c r="F38" s="19">
        <f t="shared" si="55"/>
        <v>215018.79699999999</v>
      </c>
      <c r="G38" s="19">
        <f t="shared" ref="G38:H38" si="56">+G39+G46</f>
        <v>320800.11113999999</v>
      </c>
      <c r="H38" s="19">
        <f t="shared" si="56"/>
        <v>265372.11307999998</v>
      </c>
      <c r="I38" s="19">
        <f t="shared" ref="I38:J38" si="57">+I39+I46</f>
        <v>256986.96745999999</v>
      </c>
      <c r="J38" s="19">
        <f t="shared" si="57"/>
        <v>345015.33755</v>
      </c>
      <c r="K38" s="19">
        <f t="shared" ref="K38:L38" si="58">+K39+K46</f>
        <v>448958.50869000005</v>
      </c>
      <c r="L38" s="19">
        <f t="shared" si="58"/>
        <v>423780.04446999996</v>
      </c>
      <c r="M38" s="19">
        <f t="shared" ref="M38" si="59">+M39+M46</f>
        <v>675211.01329000003</v>
      </c>
      <c r="N38" s="19">
        <f t="shared" ref="N38:O38" si="60">+N39+N46</f>
        <v>476581.60097000003</v>
      </c>
      <c r="O38" s="19">
        <f t="shared" si="60"/>
        <v>375851.34206</v>
      </c>
      <c r="P38" s="19">
        <f t="shared" ref="P38:Q38" si="61">+P39+P46</f>
        <v>299532.71562999999</v>
      </c>
      <c r="Q38" s="19">
        <f t="shared" si="61"/>
        <v>322144.49332000001</v>
      </c>
      <c r="R38" s="19">
        <f t="shared" ref="R38:S38" si="62">+R39+R46</f>
        <v>329381.51289000001</v>
      </c>
      <c r="S38" s="19">
        <f t="shared" si="62"/>
        <v>268605.02562999999</v>
      </c>
      <c r="T38" s="19">
        <f t="shared" ref="T38:U38" si="63">+T39+T46</f>
        <v>248050.88945000002</v>
      </c>
      <c r="U38" s="19">
        <f t="shared" si="63"/>
        <v>281725.41980999999</v>
      </c>
      <c r="V38" s="19">
        <f t="shared" ref="V38" si="64">+V39+V46</f>
        <v>390820.07577999996</v>
      </c>
      <c r="W38" s="19">
        <f>'[39]2020 - 2025'!W38+'[40]2020-2025'!W38</f>
        <v>313851.99170999997</v>
      </c>
      <c r="X38" s="19">
        <f>'[41]2020 - 2025'!X38+'[42]2020-2025'!X38</f>
        <v>483369.91443000006</v>
      </c>
      <c r="Y38" s="19">
        <f>'[43]2020 - 2025'!Y38+'[44]2020-2025'!Y38</f>
        <v>239974.39045000001</v>
      </c>
      <c r="Z38" s="19">
        <f>'[45]2020 - 2025'!Z38+'[46]2020-2025'!Z38</f>
        <v>205483.29157999999</v>
      </c>
      <c r="AA38" s="19">
        <f>'[47]2020 - 2026'!AA38+'[48]2020-2026'!AA38</f>
        <v>440643.78008999996</v>
      </c>
    </row>
    <row r="39" spans="1:27" ht="15.95" customHeight="1" x14ac:dyDescent="0.15">
      <c r="B39" s="7" t="s">
        <v>36</v>
      </c>
      <c r="C39" s="19">
        <f t="shared" ref="C39:I39" si="65">SUM(C40:C44)</f>
        <v>8639</v>
      </c>
      <c r="D39" s="19">
        <f t="shared" si="65"/>
        <v>43374</v>
      </c>
      <c r="E39" s="19">
        <f t="shared" si="65"/>
        <v>52936</v>
      </c>
      <c r="F39" s="19">
        <f t="shared" si="65"/>
        <v>27483.038</v>
      </c>
      <c r="G39" s="19">
        <f t="shared" si="65"/>
        <v>228451.02875</v>
      </c>
      <c r="H39" s="19">
        <f t="shared" si="65"/>
        <v>174484.68732</v>
      </c>
      <c r="I39" s="19">
        <f t="shared" si="65"/>
        <v>156925.87961999999</v>
      </c>
      <c r="J39" s="19">
        <f t="shared" ref="J39:K39" si="66">SUM(J40:J44)</f>
        <v>56532.735629999996</v>
      </c>
      <c r="K39" s="19">
        <f t="shared" si="66"/>
        <v>125974.33040000001</v>
      </c>
      <c r="L39" s="19">
        <f t="shared" ref="L39:M39" si="67">SUM(L40:L44)</f>
        <v>67076.851820000011</v>
      </c>
      <c r="M39" s="19">
        <f t="shared" si="67"/>
        <v>286550.11699999997</v>
      </c>
      <c r="N39" s="19">
        <f t="shared" ref="N39:O39" si="68">SUM(N40:N44)</f>
        <v>32933.581640000004</v>
      </c>
      <c r="O39" s="19">
        <f t="shared" si="68"/>
        <v>28983.820400000001</v>
      </c>
      <c r="P39" s="19">
        <f t="shared" ref="P39:Q39" si="69">SUM(P40:P44)</f>
        <v>101050.30783999999</v>
      </c>
      <c r="Q39" s="19">
        <f t="shared" si="69"/>
        <v>160532.01801</v>
      </c>
      <c r="R39" s="19">
        <f t="shared" ref="R39:S39" si="70">SUM(R40:R44)</f>
        <v>29973.23906</v>
      </c>
      <c r="S39" s="19">
        <f t="shared" si="70"/>
        <v>110011.64296</v>
      </c>
      <c r="T39" s="19">
        <f t="shared" ref="T39:U39" si="71">SUM(T40:T44)</f>
        <v>83399.472120000006</v>
      </c>
      <c r="U39" s="19">
        <f t="shared" si="71"/>
        <v>31935.424549999996</v>
      </c>
      <c r="V39" s="19">
        <f t="shared" ref="V39" si="72">SUM(V40:V44)</f>
        <v>166461.81005</v>
      </c>
      <c r="W39" s="19">
        <f>'[39]2020 - 2025'!W39+'[40]2020-2025'!W39</f>
        <v>83936.531100000007</v>
      </c>
      <c r="X39" s="19">
        <f>'[41]2020 - 2025'!X39+'[42]2020-2025'!X39</f>
        <v>42893.567429999996</v>
      </c>
      <c r="Y39" s="19">
        <f>'[43]2020 - 2025'!Y39+'[44]2020-2025'!Y39</f>
        <v>59118.529950000004</v>
      </c>
      <c r="Z39" s="19">
        <f>'[45]2020 - 2025'!Z39+'[46]2020-2025'!Z39</f>
        <v>29836.125769999999</v>
      </c>
      <c r="AA39" s="19">
        <f>'[47]2020 - 2026'!AA39+'[48]2020-2026'!AA39</f>
        <v>201033.26285999999</v>
      </c>
    </row>
    <row r="40" spans="1:27" ht="15" customHeight="1" x14ac:dyDescent="0.15">
      <c r="B40" s="2" t="s">
        <v>18</v>
      </c>
      <c r="C40" s="32">
        <f>'[1]2015 - 2019'!S40+'[2]2015-2019'!S40</f>
        <v>100</v>
      </c>
      <c r="D40" s="32">
        <f>'[3]2015 - 2019'!T40+'[4]2015-2019'!T40</f>
        <v>100</v>
      </c>
      <c r="E40" s="32">
        <f>'[5]2015 - 2019'!U40+'[6]2015-2019'!U40</f>
        <v>100</v>
      </c>
      <c r="F40" s="32">
        <f>'[7]2015 - 2019'!V40+'[8]2015-2019'!V40</f>
        <v>100</v>
      </c>
      <c r="G40" s="32">
        <f>'[9]2015 - 2019'!W40+'[10]2016-2021'!W40</f>
        <v>100</v>
      </c>
      <c r="H40" s="32">
        <f>'[11]2016 - 2021'!X40+'[12]2016-2021'!X40</f>
        <v>100</v>
      </c>
      <c r="I40" s="32">
        <f>'[13]2016 - 2021'!Y40+'[14]2016-2021'!Y40</f>
        <v>100</v>
      </c>
      <c r="J40" s="32">
        <f>'[15]2016 - 2021'!Z40+'[16]2016-2021'!Z40</f>
        <v>100</v>
      </c>
      <c r="K40" s="32">
        <f>'[17]2018 - 2022'!S40+'[18]2018-2022'!S40</f>
        <v>100</v>
      </c>
      <c r="L40" s="32">
        <f>'[19]2018 - 2022'!T40+'[20]2018-2022'!T40</f>
        <v>100</v>
      </c>
      <c r="M40" s="32">
        <f>'[21]2018 - 2022'!U40+'[22]2018-2022'!U40</f>
        <v>100</v>
      </c>
      <c r="N40" s="32">
        <f>'[23]2018 - 2023'!V40+'[24]2018-2023'!V40</f>
        <v>100</v>
      </c>
      <c r="O40" s="32">
        <f>'[23]2018 - 2023'!W40+'[24]2018-2023'!W40</f>
        <v>100</v>
      </c>
      <c r="P40" s="32">
        <f>'[25]2018 - 2023'!X40+'[26]2018-2023'!X40</f>
        <v>100</v>
      </c>
      <c r="Q40" s="32">
        <f>'[27]2018 - 2023'!Y40+'[28]2018-2023'!Y40</f>
        <v>100</v>
      </c>
      <c r="R40" s="32">
        <f>'[29]2018 - 2023'!Z40+'[30]2018-2023'!Z40</f>
        <v>100</v>
      </c>
      <c r="S40" s="32">
        <f>'[31]2020 - 2024'!S40+'[32]2020-2024'!S40</f>
        <v>100</v>
      </c>
      <c r="T40" s="32">
        <f>'[33]2020 - 2024'!T40+'[34]2020-2024'!T40</f>
        <v>100</v>
      </c>
      <c r="U40" s="32">
        <f>'[35]2020 - 2024'!U40+'[36]2020-2024'!U40</f>
        <v>100</v>
      </c>
      <c r="V40" s="32">
        <f>'[37]2020 - 2024'!V40+'[38]2020-2024'!V40</f>
        <v>100</v>
      </c>
      <c r="W40" s="32">
        <f>'[39]2020 - 2025'!W40+'[40]2020-2025'!W40</f>
        <v>100</v>
      </c>
      <c r="X40" s="32">
        <f>'[41]2020 - 2025'!X40+'[42]2020-2025'!X40</f>
        <v>100</v>
      </c>
      <c r="Y40" s="32">
        <f>'[43]2020 - 2025'!Y40+'[44]2020-2025'!Y40</f>
        <v>100</v>
      </c>
      <c r="Z40" s="32">
        <f>'[45]2020 - 2025'!Z40+'[46]2020-2025'!Z40</f>
        <v>100</v>
      </c>
      <c r="AA40" s="32">
        <f>'[47]2020 - 2026'!AA40+'[48]2020-2026'!AA40</f>
        <v>100</v>
      </c>
    </row>
    <row r="41" spans="1:27" ht="15" customHeight="1" x14ac:dyDescent="0.15">
      <c r="B41" s="2" t="s">
        <v>37</v>
      </c>
      <c r="C41" s="32">
        <f>'[1]2015 - 2019'!S41+'[2]2015-2019'!S41</f>
        <v>0</v>
      </c>
      <c r="D41" s="32">
        <f>'[3]2015 - 2019'!T41+'[4]2015-2019'!T41</f>
        <v>0</v>
      </c>
      <c r="E41" s="32">
        <f>'[5]2015 - 2019'!U41+'[6]2015-2019'!U41</f>
        <v>0</v>
      </c>
      <c r="F41" s="32">
        <f>'[7]2015 - 2019'!V41+'[8]2015-2019'!V41</f>
        <v>0</v>
      </c>
      <c r="G41" s="32">
        <f>'[9]2015 - 2019'!W41+'[10]2016-2021'!W41</f>
        <v>0</v>
      </c>
      <c r="H41" s="32">
        <f>'[11]2016 - 2021'!X41+'[12]2016-2021'!X41</f>
        <v>0</v>
      </c>
      <c r="I41" s="32">
        <f>'[13]2016 - 2021'!Y41+'[14]2016-2021'!Y41</f>
        <v>0</v>
      </c>
      <c r="J41" s="32">
        <f>'[15]2016 - 2021'!Z41+'[16]2016-2021'!Z41</f>
        <v>0</v>
      </c>
      <c r="K41" s="32">
        <f>'[17]2018 - 2022'!S41+'[18]2018-2022'!S41</f>
        <v>0</v>
      </c>
      <c r="L41" s="32">
        <f>'[19]2018 - 2022'!T41+'[20]2018-2022'!T41</f>
        <v>0</v>
      </c>
      <c r="M41" s="32">
        <f>'[21]2018 - 2022'!U41+'[22]2018-2022'!U41</f>
        <v>0</v>
      </c>
      <c r="N41" s="32">
        <f>'[23]2018 - 2023'!V41+'[24]2018-2023'!V41</f>
        <v>0</v>
      </c>
      <c r="O41" s="32">
        <f>'[23]2018 - 2023'!W41+'[24]2018-2023'!W41</f>
        <v>0</v>
      </c>
      <c r="P41" s="32">
        <f>'[25]2018 - 2023'!X41+'[26]2018-2023'!X41</f>
        <v>0</v>
      </c>
      <c r="Q41" s="32">
        <f>'[27]2018 - 2023'!Y41+'[28]2018-2023'!Y41</f>
        <v>0</v>
      </c>
      <c r="R41" s="32">
        <f>'[29]2018 - 2023'!Z41+'[30]2018-2023'!Z41</f>
        <v>0</v>
      </c>
      <c r="S41" s="32">
        <f>'[31]2020 - 2024'!S41+'[32]2020-2024'!S41</f>
        <v>0</v>
      </c>
      <c r="T41" s="32">
        <f>'[33]2020 - 2024'!T41+'[34]2020-2024'!T41</f>
        <v>0</v>
      </c>
      <c r="U41" s="32">
        <f>'[35]2020 - 2024'!U41+'[36]2020-2024'!U41</f>
        <v>0</v>
      </c>
      <c r="V41" s="32">
        <f>'[37]2020 - 2024'!V41+'[38]2020-2024'!V41</f>
        <v>0</v>
      </c>
      <c r="W41" s="32">
        <f>'[39]2020 - 2025'!W41+'[40]2020-2025'!W41</f>
        <v>0</v>
      </c>
      <c r="X41" s="32">
        <f>'[41]2020 - 2025'!X41+'[42]2020-2025'!X41</f>
        <v>0</v>
      </c>
      <c r="Y41" s="32">
        <f>'[43]2020 - 2025'!Y41+'[44]2020-2025'!Y41</f>
        <v>0</v>
      </c>
      <c r="Z41" s="32">
        <f>'[45]2020 - 2025'!Z41+'[46]2020-2025'!Z41</f>
        <v>0</v>
      </c>
      <c r="AA41" s="32">
        <f>'[47]2020 - 2026'!AA41+'[48]2020-2026'!AA41</f>
        <v>0</v>
      </c>
    </row>
    <row r="42" spans="1:27" ht="15" customHeight="1" x14ac:dyDescent="0.15">
      <c r="B42" s="2" t="s">
        <v>49</v>
      </c>
      <c r="C42" s="32">
        <f>'[1]2015 - 2019'!S42+'[2]2015-2019'!S42</f>
        <v>0</v>
      </c>
      <c r="D42" s="32">
        <f>'[3]2015 - 2019'!T42+'[4]2015-2019'!T42</f>
        <v>0</v>
      </c>
      <c r="E42" s="32">
        <f>'[5]2015 - 2019'!U42+'[6]2015-2019'!U42</f>
        <v>0</v>
      </c>
      <c r="F42" s="32">
        <f>'[7]2015 - 2019'!V42+'[8]2015-2019'!V42</f>
        <v>0</v>
      </c>
      <c r="G42" s="32">
        <f>'[9]2015 - 2019'!W42+'[10]2016-2021'!W42</f>
        <v>0</v>
      </c>
      <c r="H42" s="32">
        <f>'[11]2016 - 2021'!X42+'[12]2016-2021'!X42</f>
        <v>0</v>
      </c>
      <c r="I42" s="32">
        <f>'[13]2016 - 2021'!Y42+'[14]2016-2021'!Y42</f>
        <v>0</v>
      </c>
      <c r="J42" s="32">
        <f>'[15]2016 - 2021'!Z42+'[16]2016-2021'!Z42</f>
        <v>0</v>
      </c>
      <c r="K42" s="32">
        <f>'[17]2018 - 2022'!S42+'[18]2018-2022'!S42</f>
        <v>0</v>
      </c>
      <c r="L42" s="32">
        <f>'[19]2018 - 2022'!T42+'[20]2018-2022'!T42</f>
        <v>0</v>
      </c>
      <c r="M42" s="32">
        <f>'[21]2018 - 2022'!U42+'[22]2018-2022'!U42</f>
        <v>0</v>
      </c>
      <c r="N42" s="32">
        <f>'[23]2018 - 2023'!V42+'[24]2018-2023'!V42</f>
        <v>0</v>
      </c>
      <c r="O42" s="32">
        <f>'[23]2018 - 2023'!W42+'[24]2018-2023'!W42</f>
        <v>0</v>
      </c>
      <c r="P42" s="32">
        <f>'[25]2018 - 2023'!X42+'[26]2018-2023'!X42</f>
        <v>50</v>
      </c>
      <c r="Q42" s="32">
        <f>'[27]2018 - 2023'!Y42+'[28]2018-2023'!Y42</f>
        <v>50</v>
      </c>
      <c r="R42" s="32">
        <f>'[29]2018 - 2023'!Z42+'[30]2018-2023'!Z42</f>
        <v>0</v>
      </c>
      <c r="S42" s="32">
        <f>'[31]2020 - 2024'!S42+'[32]2020-2024'!S42</f>
        <v>50</v>
      </c>
      <c r="T42" s="32">
        <f>'[33]2020 - 2024'!T42+'[34]2020-2024'!T42</f>
        <v>50</v>
      </c>
      <c r="U42" s="32">
        <f>'[35]2020 - 2024'!U42+'[36]2020-2024'!U42</f>
        <v>50</v>
      </c>
      <c r="V42" s="32">
        <f>'[37]2020 - 2024'!V42+'[38]2020-2024'!V42</f>
        <v>50</v>
      </c>
      <c r="W42" s="32">
        <f>'[39]2020 - 2025'!W42+'[40]2020-2025'!W42</f>
        <v>50</v>
      </c>
      <c r="X42" s="32">
        <f>'[41]2020 - 2025'!X42+'[42]2020-2025'!X42</f>
        <v>50</v>
      </c>
      <c r="Y42" s="32">
        <f>'[43]2020 - 2025'!Y42+'[44]2020-2025'!Y42</f>
        <v>50</v>
      </c>
      <c r="Z42" s="32">
        <f>'[45]2020 - 2025'!Z42+'[46]2020-2025'!Z42</f>
        <v>50</v>
      </c>
      <c r="AA42" s="32">
        <f>'[47]2020 - 2026'!AA42+'[48]2020-2026'!AA42</f>
        <v>4757.0780000000004</v>
      </c>
    </row>
    <row r="43" spans="1:27" ht="15" customHeight="1" x14ac:dyDescent="0.15">
      <c r="B43" s="12" t="s">
        <v>64</v>
      </c>
      <c r="C43" s="32">
        <f>'[1]2015 - 2019'!S43+'[2]2015-2019'!S43</f>
        <v>8539</v>
      </c>
      <c r="D43" s="32">
        <f>'[3]2015 - 2019'!T43+'[4]2015-2019'!T43</f>
        <v>43274</v>
      </c>
      <c r="E43" s="32">
        <f>'[5]2015 - 2019'!U43+'[6]2015-2019'!U43</f>
        <v>52836</v>
      </c>
      <c r="F43" s="32">
        <f>'[7]2015 - 2019'!V43+'[8]2015-2019'!V43</f>
        <v>27383.038</v>
      </c>
      <c r="G43" s="32">
        <f>'[9]2015 - 2019'!W43+'[10]2016-2021'!W43</f>
        <v>228351.02875</v>
      </c>
      <c r="H43" s="32">
        <f>'[11]2016 - 2021'!X43+'[12]2016-2021'!X43</f>
        <v>174384.68732</v>
      </c>
      <c r="I43" s="32">
        <f>'[13]2016 - 2021'!Y43+'[14]2016-2021'!Y43</f>
        <v>156825.87961999999</v>
      </c>
      <c r="J43" s="32">
        <f>'[15]2016 - 2021'!Z43+'[16]2016-2021'!Z43</f>
        <v>56432.735629999996</v>
      </c>
      <c r="K43" s="32">
        <f>'[17]2018 - 2022'!S43+'[18]2018-2022'!S43</f>
        <v>125874.33040000001</v>
      </c>
      <c r="L43" s="32">
        <f>'[19]2018 - 2022'!T43+'[20]2018-2022'!T43</f>
        <v>66976.851820000011</v>
      </c>
      <c r="M43" s="32">
        <f>'[21]2018 - 2022'!U43+'[22]2018-2022'!U43</f>
        <v>286450.11699999997</v>
      </c>
      <c r="N43" s="32">
        <f>'[23]2018 - 2023'!V43+'[24]2018-2023'!V43</f>
        <v>32833.581640000004</v>
      </c>
      <c r="O43" s="32">
        <f>'[23]2018 - 2023'!W43+'[24]2018-2023'!W43</f>
        <v>28883.820400000001</v>
      </c>
      <c r="P43" s="32">
        <f>'[25]2018 - 2023'!X43+'[26]2018-2023'!X43</f>
        <v>100900.30783999999</v>
      </c>
      <c r="Q43" s="32">
        <f>'[27]2018 - 2023'!Y43+'[28]2018-2023'!Y43</f>
        <v>160382.01801</v>
      </c>
      <c r="R43" s="32">
        <f>'[29]2018 - 2023'!Z43+'[30]2018-2023'!Z43</f>
        <v>29873.23906</v>
      </c>
      <c r="S43" s="32">
        <f>'[31]2020 - 2024'!S43+'[32]2020-2024'!S43</f>
        <v>109861.64296</v>
      </c>
      <c r="T43" s="32">
        <f>'[33]2020 - 2024'!T43+'[34]2020-2024'!T43</f>
        <v>83249.472120000006</v>
      </c>
      <c r="U43" s="32">
        <f>'[35]2020 - 2024'!U43+'[36]2020-2024'!U43</f>
        <v>31785.424549999996</v>
      </c>
      <c r="V43" s="32">
        <f>'[37]2020 - 2024'!V43+'[38]2020-2024'!V43</f>
        <v>166311.81005</v>
      </c>
      <c r="W43" s="32">
        <f>'[39]2020 - 2025'!W43+'[40]2020-2025'!W43</f>
        <v>83786.531100000007</v>
      </c>
      <c r="X43" s="32">
        <f>'[41]2020 - 2025'!X43+'[42]2020-2025'!X43</f>
        <v>42743.567429999996</v>
      </c>
      <c r="Y43" s="32">
        <f>'[43]2020 - 2025'!Y43+'[44]2020-2025'!Y43</f>
        <v>58968.529950000004</v>
      </c>
      <c r="Z43" s="32">
        <f>'[45]2020 - 2025'!Z43+'[46]2020-2025'!Z43</f>
        <v>29686.125769999999</v>
      </c>
      <c r="AA43" s="32">
        <f>'[47]2020 - 2026'!AA43+'[48]2020-2026'!AA43</f>
        <v>196176.18485999998</v>
      </c>
    </row>
    <row r="44" spans="1:27" ht="15" customHeight="1" x14ac:dyDescent="0.15">
      <c r="B44" s="12" t="s">
        <v>86</v>
      </c>
      <c r="C44" s="32">
        <f>'[1]2015 - 2019'!S44+'[2]2015-2019'!S44</f>
        <v>0</v>
      </c>
      <c r="D44" s="32">
        <f>'[3]2015 - 2019'!T44+'[4]2015-2019'!T44</f>
        <v>0</v>
      </c>
      <c r="E44" s="32">
        <f>'[5]2015 - 2019'!U44+'[6]2015-2019'!U44</f>
        <v>0</v>
      </c>
      <c r="F44" s="32">
        <f>'[7]2015 - 2019'!V44+'[8]2015-2019'!V44</f>
        <v>0</v>
      </c>
      <c r="G44" s="32">
        <f>'[9]2015 - 2019'!W44+'[10]2016-2021'!W44</f>
        <v>0</v>
      </c>
      <c r="H44" s="32">
        <f>'[11]2016 - 2021'!X44+'[12]2016-2021'!X44</f>
        <v>0</v>
      </c>
      <c r="I44" s="32">
        <f>'[13]2016 - 2021'!Y44+'[14]2016-2021'!Y44</f>
        <v>0</v>
      </c>
      <c r="J44" s="32">
        <f>'[15]2016 - 2021'!Z44+'[16]2016-2021'!Z44</f>
        <v>0</v>
      </c>
      <c r="K44" s="32">
        <f>'[17]2018 - 2022'!S44+'[18]2018-2022'!S44</f>
        <v>0</v>
      </c>
      <c r="L44" s="32">
        <f>'[19]2018 - 2022'!T44+'[20]2018-2022'!T44</f>
        <v>0</v>
      </c>
      <c r="M44" s="32">
        <f>'[21]2018 - 2022'!U44+'[22]2018-2022'!U44</f>
        <v>0</v>
      </c>
      <c r="N44" s="32">
        <f>'[23]2018 - 2023'!V44+'[24]2018-2023'!V44</f>
        <v>0</v>
      </c>
      <c r="O44" s="32">
        <f>'[23]2018 - 2023'!W44+'[24]2018-2023'!W44</f>
        <v>0</v>
      </c>
      <c r="P44" s="32">
        <f>'[25]2018 - 2023'!X44+'[26]2018-2023'!X44</f>
        <v>0</v>
      </c>
      <c r="Q44" s="32">
        <f>'[27]2018 - 2023'!Y44+'[28]2018-2023'!Y44</f>
        <v>0</v>
      </c>
      <c r="R44" s="32">
        <f>'[29]2018 - 2023'!Z44+'[30]2018-2023'!Z44</f>
        <v>0</v>
      </c>
      <c r="S44" s="32">
        <f>'[31]2020 - 2024'!S44+'[32]2020-2024'!S44</f>
        <v>0</v>
      </c>
      <c r="T44" s="32">
        <f>'[33]2020 - 2024'!T44+'[34]2020-2024'!T44</f>
        <v>0</v>
      </c>
      <c r="U44" s="32">
        <f>'[35]2020 - 2024'!U44+'[36]2020-2024'!U44</f>
        <v>0</v>
      </c>
      <c r="V44" s="32">
        <f>'[37]2020 - 2024'!V44+'[38]2020-2024'!V44</f>
        <v>0</v>
      </c>
      <c r="W44" s="32">
        <f>'[39]2020 - 2025'!W44+'[40]2020-2025'!W44</f>
        <v>0</v>
      </c>
      <c r="X44" s="32">
        <f>'[41]2020 - 2025'!X44+'[42]2020-2025'!X44</f>
        <v>0</v>
      </c>
      <c r="Y44" s="32">
        <f>'[43]2020 - 2025'!Y44+'[44]2020-2025'!Y44</f>
        <v>0</v>
      </c>
      <c r="Z44" s="32">
        <f>'[45]2020 - 2025'!Z44+'[46]2020-2025'!Z44</f>
        <v>0</v>
      </c>
      <c r="AA44" s="32">
        <f>'[47]2020 - 2026'!AA44+'[48]2020-2026'!AA44</f>
        <v>0</v>
      </c>
    </row>
    <row r="45" spans="1:27" ht="6" customHeight="1" x14ac:dyDescent="0.15">
      <c r="B45" s="1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8" customHeight="1" x14ac:dyDescent="0.15">
      <c r="B46" s="7" t="s">
        <v>38</v>
      </c>
      <c r="C46" s="19">
        <f t="shared" ref="C46:H46" si="73">+C47+C48+C49+C50+C51</f>
        <v>77668</v>
      </c>
      <c r="D46" s="19">
        <f t="shared" si="73"/>
        <v>190402</v>
      </c>
      <c r="E46" s="19">
        <f t="shared" si="73"/>
        <v>134734</v>
      </c>
      <c r="F46" s="19">
        <f t="shared" si="73"/>
        <v>187535.75899999999</v>
      </c>
      <c r="G46" s="19">
        <f t="shared" si="73"/>
        <v>92349.082389999996</v>
      </c>
      <c r="H46" s="19">
        <f t="shared" si="73"/>
        <v>90887.425759999984</v>
      </c>
      <c r="I46" s="19">
        <f t="shared" ref="I46:J46" si="74">+I47+I48+I49+I50+I51</f>
        <v>100061.08783999999</v>
      </c>
      <c r="J46" s="19">
        <f t="shared" si="74"/>
        <v>288482.60191999999</v>
      </c>
      <c r="K46" s="19">
        <f t="shared" ref="K46:L46" si="75">+K47+K48+K49+K50+K51</f>
        <v>322984.17829000001</v>
      </c>
      <c r="L46" s="19">
        <f t="shared" si="75"/>
        <v>356703.19264999998</v>
      </c>
      <c r="M46" s="19">
        <f t="shared" ref="M46" si="76">+M47+M48+M49+M50+M51</f>
        <v>388660.89629000006</v>
      </c>
      <c r="N46" s="19">
        <f t="shared" ref="N46:O46" si="77">+N47+N48+N49+N50+N51</f>
        <v>443648.01933000004</v>
      </c>
      <c r="O46" s="19">
        <f t="shared" si="77"/>
        <v>346867.52165999997</v>
      </c>
      <c r="P46" s="19">
        <f t="shared" ref="P46:Q46" si="78">+P47+P48+P49+P50+P51</f>
        <v>198482.40779</v>
      </c>
      <c r="Q46" s="19">
        <f t="shared" si="78"/>
        <v>161612.47531000001</v>
      </c>
      <c r="R46" s="19">
        <f t="shared" ref="R46:S46" si="79">+R47+R48+R49+R50+R51</f>
        <v>299408.27383000002</v>
      </c>
      <c r="S46" s="19">
        <f t="shared" si="79"/>
        <v>158593.38266999999</v>
      </c>
      <c r="T46" s="19">
        <f t="shared" ref="T46:U46" si="80">+T47+T48+T49+T50+T51</f>
        <v>164651.41733</v>
      </c>
      <c r="U46" s="19">
        <f t="shared" si="80"/>
        <v>249789.99526</v>
      </c>
      <c r="V46" s="19">
        <f t="shared" ref="V46" si="81">+V47+V48+V49+V50+V51</f>
        <v>224358.26572999998</v>
      </c>
      <c r="W46" s="19">
        <f>'[39]2020 - 2025'!W46+'[40]2020-2025'!W46</f>
        <v>229915.46060999998</v>
      </c>
      <c r="X46" s="19">
        <f>'[41]2020 - 2025'!X46+'[42]2020-2025'!X46</f>
        <v>440476.34700000007</v>
      </c>
      <c r="Y46" s="19">
        <f>'[43]2020 - 2025'!Y46+'[44]2020-2025'!Y46</f>
        <v>180855.86050000001</v>
      </c>
      <c r="Z46" s="19">
        <f>'[45]2020 - 2025'!Z46+'[46]2020-2025'!Z46</f>
        <v>175647.16581000001</v>
      </c>
      <c r="AA46" s="19">
        <f>'[47]2020 - 2026'!AA46+'[48]2020-2026'!AA46</f>
        <v>239610.51723</v>
      </c>
    </row>
    <row r="47" spans="1:27" ht="15" customHeight="1" x14ac:dyDescent="0.15">
      <c r="B47" s="16" t="s">
        <v>20</v>
      </c>
      <c r="C47" s="32">
        <f>'[1]2015 - 2019'!S47+'[2]2015-2019'!S47</f>
        <v>77623</v>
      </c>
      <c r="D47" s="32">
        <f>'[3]2015 - 2019'!T47+'[4]2015-2019'!T47</f>
        <v>128018</v>
      </c>
      <c r="E47" s="32">
        <f>'[5]2015 - 2019'!U47+'[6]2015-2019'!U47</f>
        <v>101133</v>
      </c>
      <c r="F47" s="32">
        <f>'[7]2015 - 2019'!V47+'[8]2015-2019'!V47</f>
        <v>102775.935</v>
      </c>
      <c r="G47" s="32">
        <f>'[9]2015 - 2019'!W47+'[10]2016-2021'!W47</f>
        <v>80385.509529999996</v>
      </c>
      <c r="H47" s="32">
        <f>'[11]2016 - 2021'!X47+'[12]2016-2021'!X47</f>
        <v>80552.384699999995</v>
      </c>
      <c r="I47" s="32">
        <f>'[13]2016 - 2021'!Y47+'[14]2016-2021'!Y47</f>
        <v>84619.435589999994</v>
      </c>
      <c r="J47" s="32">
        <f>'[15]2016 - 2021'!Z47+'[16]2016-2021'!Z47</f>
        <v>78340.440489999994</v>
      </c>
      <c r="K47" s="32">
        <f>'[17]2018 - 2022'!S47+'[18]2018-2022'!S47</f>
        <v>86689.762940000001</v>
      </c>
      <c r="L47" s="32">
        <f>'[19]2018 - 2022'!T47+'[20]2018-2022'!T47</f>
        <v>80239.347469999993</v>
      </c>
      <c r="M47" s="32">
        <f>'[21]2018 - 2022'!U47+'[22]2018-2022'!U47</f>
        <v>83777.838680000001</v>
      </c>
      <c r="N47" s="32">
        <f>'[23]2018 - 2023'!V47+'[24]2018-2023'!V47</f>
        <v>107034.31371</v>
      </c>
      <c r="O47" s="32">
        <f>'[23]2018 - 2023'!W47+'[24]2018-2023'!W47</f>
        <v>120658.36507999999</v>
      </c>
      <c r="P47" s="32">
        <f>'[25]2018 - 2023'!X47+'[26]2018-2023'!X47</f>
        <v>112554.11967999999</v>
      </c>
      <c r="Q47" s="32">
        <f>'[27]2018 - 2023'!Y47+'[28]2018-2023'!Y47</f>
        <v>106867.85582</v>
      </c>
      <c r="R47" s="32">
        <f>'[29]2018 - 2023'!Z47+'[30]2018-2023'!Z47</f>
        <v>126115.79369999999</v>
      </c>
      <c r="S47" s="32">
        <f>'[31]2020 - 2024'!S47+'[32]2020-2024'!S47</f>
        <v>103160.09199999999</v>
      </c>
      <c r="T47" s="32">
        <f>'[33]2020 - 2024'!T47+'[34]2020-2024'!T47</f>
        <v>102176.99098</v>
      </c>
      <c r="U47" s="32">
        <f>'[35]2020 - 2024'!U47+'[36]2020-2024'!U47</f>
        <v>109678.67762999999</v>
      </c>
      <c r="V47" s="32">
        <f>'[37]2020 - 2024'!V47+'[38]2020-2024'!V47</f>
        <v>101740.60208</v>
      </c>
      <c r="W47" s="32">
        <f>'[39]2020 - 2025'!W47+'[40]2020-2025'!W47</f>
        <v>82783.274789999996</v>
      </c>
      <c r="X47" s="32">
        <f>'[41]2020 - 2025'!X47+'[42]2020-2025'!X47</f>
        <v>106637.11600000001</v>
      </c>
      <c r="Y47" s="32">
        <f>'[43]2020 - 2025'!Y47+'[44]2020-2025'!Y47</f>
        <v>98261.091050000003</v>
      </c>
      <c r="Z47" s="32">
        <f>'[45]2020 - 2025'!Z47+'[46]2020-2025'!Z47</f>
        <v>93601.128360000002</v>
      </c>
      <c r="AA47" s="32">
        <f>'[47]2020 - 2026'!AA47+'[48]2020-2026'!AA47</f>
        <v>96022.578120000006</v>
      </c>
    </row>
    <row r="48" spans="1:27" ht="15" customHeight="1" x14ac:dyDescent="0.15">
      <c r="B48" s="12" t="s">
        <v>47</v>
      </c>
      <c r="C48" s="32">
        <v>0</v>
      </c>
      <c r="D48" s="32">
        <f>'[3]2015 - 2019'!T48+'[4]2015-2019'!T48</f>
        <v>40592</v>
      </c>
      <c r="E48" s="32">
        <f>'[5]2015 - 2019'!U48+'[6]2015-2019'!U48</f>
        <v>6937</v>
      </c>
      <c r="F48" s="32">
        <f>'[7]2015 - 2019'!V48+'[8]2015-2019'!V48</f>
        <v>67468.073999999993</v>
      </c>
      <c r="G48" s="32">
        <f>'[9]2015 - 2019'!W48+'[10]2016-2021'!W48</f>
        <v>2084.1769899999999</v>
      </c>
      <c r="H48" s="32">
        <f>'[11]2016 - 2021'!X48+'[12]2016-2021'!X48</f>
        <v>3549.4617699999999</v>
      </c>
      <c r="I48" s="32">
        <f>'[13]2016 - 2021'!Y48+'[14]2016-2021'!Y48</f>
        <v>6594.4123099999997</v>
      </c>
      <c r="J48" s="32">
        <f>'[15]2016 - 2021'!Z48+'[16]2016-2021'!Z48</f>
        <v>51907.994720000002</v>
      </c>
      <c r="K48" s="32">
        <f>'[17]2018 - 2022'!S48+'[18]2018-2022'!S48</f>
        <v>53471.91231</v>
      </c>
      <c r="L48" s="32">
        <f>'[19]2018 - 2022'!T48+'[20]2018-2022'!T48</f>
        <v>96378.55816</v>
      </c>
      <c r="M48" s="32">
        <f>'[21]2018 - 2022'!U48+'[22]2018-2022'!U48</f>
        <v>8760.7579299999998</v>
      </c>
      <c r="N48" s="32">
        <f>'[23]2018 - 2023'!V48+'[24]2018-2023'!V48</f>
        <v>164009.19662</v>
      </c>
      <c r="O48" s="32">
        <f>'[23]2018 - 2023'!W48+'[24]2018-2023'!W48</f>
        <v>52872.770080000002</v>
      </c>
      <c r="P48" s="32">
        <f>'[25]2018 - 2023'!X48+'[26]2018-2023'!X48</f>
        <v>24119.745050000001</v>
      </c>
      <c r="Q48" s="32">
        <f>'[27]2018 - 2023'!Y48+'[28]2018-2023'!Y48</f>
        <v>19979.482660000001</v>
      </c>
      <c r="R48" s="32">
        <f>'[29]2018 - 2023'!Z48+'[30]2018-2023'!Z48</f>
        <v>165901.42066999999</v>
      </c>
      <c r="S48" s="32">
        <f>'[31]2020 - 2024'!S48+'[32]2020-2024'!S48</f>
        <v>15322.94911</v>
      </c>
      <c r="T48" s="32">
        <f>'[33]2020 - 2024'!T48+'[34]2020-2024'!T48</f>
        <v>51347.374920000002</v>
      </c>
      <c r="U48" s="32">
        <f>'[35]2020 - 2024'!U48+'[36]2020-2024'!U48</f>
        <v>122000.44594000001</v>
      </c>
      <c r="V48" s="32">
        <f>'[37]2020 - 2024'!V48+'[38]2020-2024'!V48</f>
        <v>15109.48856</v>
      </c>
      <c r="W48" s="32">
        <f>'[39]2020 - 2025'!W48+'[40]2020-2025'!W48</f>
        <v>70092.414950000006</v>
      </c>
      <c r="X48" s="32">
        <f>'[41]2020 - 2025'!X48+'[42]2020-2025'!X48</f>
        <v>270337.65700000001</v>
      </c>
      <c r="Y48" s="32">
        <f>'[43]2020 - 2025'!Y48+'[44]2020-2025'!Y48</f>
        <v>46941.482259999997</v>
      </c>
      <c r="Z48" s="32">
        <f>'[45]2020 - 2025'!Z48+'[46]2020-2025'!Z48</f>
        <v>70704.855049999998</v>
      </c>
      <c r="AA48" s="32">
        <f>'[47]2020 - 2026'!AA48+'[48]2020-2026'!AA48</f>
        <v>44721.445820000001</v>
      </c>
    </row>
    <row r="49" spans="1:27" ht="15" customHeight="1" x14ac:dyDescent="0.15">
      <c r="B49" s="12" t="s">
        <v>64</v>
      </c>
      <c r="C49" s="32">
        <v>45</v>
      </c>
      <c r="D49" s="32">
        <f>'[3]2015 - 2019'!T49+'[4]2015-2019'!T49</f>
        <v>21792</v>
      </c>
      <c r="E49" s="32">
        <f>'[5]2015 - 2019'!U49+'[6]2015-2019'!U49</f>
        <v>26664</v>
      </c>
      <c r="F49" s="32">
        <f>'[7]2015 - 2019'!V49+'[8]2015-2019'!V49</f>
        <v>17291.75</v>
      </c>
      <c r="G49" s="32">
        <f>'[9]2015 - 2019'!W49+'[10]2016-2021'!W49</f>
        <v>9879.3958700000003</v>
      </c>
      <c r="H49" s="32">
        <f>'[11]2016 - 2021'!X49+'[12]2016-2021'!X49</f>
        <v>6785.5792899999997</v>
      </c>
      <c r="I49" s="32">
        <f>'[13]2016 - 2021'!Y49+'[14]2016-2021'!Y49</f>
        <v>8847.2399399999995</v>
      </c>
      <c r="J49" s="32">
        <f>'[15]2016 - 2021'!Z49+'[16]2016-2021'!Z49</f>
        <v>8487.5577099999991</v>
      </c>
      <c r="K49" s="32">
        <f>'[17]2018 - 2022'!S49+'[18]2018-2022'!S49</f>
        <v>10516.484039999999</v>
      </c>
      <c r="L49" s="32">
        <f>'[19]2018 - 2022'!T49+'[20]2018-2022'!T49</f>
        <v>8207.6890199999998</v>
      </c>
      <c r="M49" s="32">
        <f>'[21]2018 - 2022'!U49+'[22]2018-2022'!U49</f>
        <v>124188.37968</v>
      </c>
      <c r="N49" s="32">
        <f>'[23]2018 - 2023'!V49+'[24]2018-2023'!V49</f>
        <v>1341.867</v>
      </c>
      <c r="O49" s="32">
        <f>'[23]2018 - 2023'!W49+'[24]2018-2023'!W49</f>
        <v>1425.5564999999999</v>
      </c>
      <c r="P49" s="32">
        <f>'[25]2018 - 2023'!X49+'[26]2018-2023'!X49</f>
        <v>61808.543060000004</v>
      </c>
      <c r="Q49" s="32">
        <f>'[27]2018 - 2023'!Y49+'[28]2018-2023'!Y49</f>
        <v>34765.136830000003</v>
      </c>
      <c r="R49" s="32">
        <f>'[29]2018 - 2023'!Z49+'[30]2018-2023'!Z49</f>
        <v>7391.0594600000004</v>
      </c>
      <c r="S49" s="32">
        <f>'[31]2020 - 2024'!S49+'[32]2020-2024'!S49</f>
        <v>40110.341560000001</v>
      </c>
      <c r="T49" s="32">
        <f>'[33]2020 - 2024'!T49+'[34]2020-2024'!T49</f>
        <v>11127.05143</v>
      </c>
      <c r="U49" s="32">
        <f>'[35]2020 - 2024'!U49+'[36]2020-2024'!U49</f>
        <v>18110.87169</v>
      </c>
      <c r="V49" s="32">
        <f>'[37]2020 - 2024'!V49+'[38]2020-2024'!V49</f>
        <v>107508.17509</v>
      </c>
      <c r="W49" s="32">
        <f>'[39]2020 - 2025'!W49+'[40]2020-2025'!W49</f>
        <v>77039.770869999993</v>
      </c>
      <c r="X49" s="32">
        <f>'[41]2020 - 2025'!X49+'[42]2020-2025'!X49</f>
        <v>63501.574000000001</v>
      </c>
      <c r="Y49" s="32">
        <f>'[43]2020 - 2025'!Y49+'[44]2020-2025'!Y49</f>
        <v>35653.287190000003</v>
      </c>
      <c r="Z49" s="32">
        <f>'[45]2020 - 2025'!Z49+'[46]2020-2025'!Z49</f>
        <v>11341.1824</v>
      </c>
      <c r="AA49" s="32">
        <f>'[47]2020 - 2026'!AA49+'[48]2020-2026'!AA49</f>
        <v>98866.493289999999</v>
      </c>
    </row>
    <row r="50" spans="1:27" ht="15" customHeight="1" x14ac:dyDescent="0.15">
      <c r="B50" s="12" t="s">
        <v>81</v>
      </c>
      <c r="C50" s="32">
        <f>'[1]2015 - 2019'!S50+'[2]2015-2019'!S50</f>
        <v>0</v>
      </c>
      <c r="D50" s="32">
        <f>'[3]2015 - 2019'!T50+'[4]2015-2019'!T50</f>
        <v>0</v>
      </c>
      <c r="E50" s="32">
        <f>'[5]2015 - 2019'!U50+'[6]2015-2019'!U50</f>
        <v>0</v>
      </c>
      <c r="F50" s="32">
        <f>'[7]2015 - 2019'!V50+'[8]2015-2019'!V50</f>
        <v>0</v>
      </c>
      <c r="G50" s="32">
        <f>'[9]2015 - 2019'!W50+'[10]2016-2021'!W50</f>
        <v>0</v>
      </c>
      <c r="H50" s="32">
        <f>'[11]2016 - 2021'!X50+'[12]2016-2021'!X50</f>
        <v>0</v>
      </c>
      <c r="I50" s="32">
        <f>'[13]2016 - 2021'!Y50+'[14]2016-2021'!Y50</f>
        <v>0</v>
      </c>
      <c r="J50" s="32">
        <f>'[15]2016 - 2021'!Z50+'[16]2016-2021'!Z50</f>
        <v>0</v>
      </c>
      <c r="K50" s="32">
        <f>'[17]2018 - 2022'!S50+'[18]2018-2022'!S50</f>
        <v>0</v>
      </c>
      <c r="L50" s="32">
        <f>'[19]2018 - 2022'!T50+'[20]2018-2022'!T50</f>
        <v>0</v>
      </c>
      <c r="M50" s="32">
        <f>'[21]2018 - 2022'!U50+'[22]2018-2022'!U50</f>
        <v>0</v>
      </c>
      <c r="N50" s="32">
        <f>'[23]2018 - 2023'!V50+'[24]2018-2023'!V50</f>
        <v>0</v>
      </c>
      <c r="O50" s="32">
        <f>'[23]2018 - 2023'!W50+'[24]2018-2023'!W50</f>
        <v>0</v>
      </c>
      <c r="P50" s="32">
        <f>'[25]2018 - 2023'!X50+'[26]2018-2023'!X50</f>
        <v>0</v>
      </c>
      <c r="Q50" s="32">
        <f>'[27]2018 - 2023'!Y50+'[28]2018-2023'!Y50</f>
        <v>0</v>
      </c>
      <c r="R50" s="32">
        <f>'[29]2018 - 2023'!Z50+'[30]2018-2023'!Z50</f>
        <v>0</v>
      </c>
      <c r="S50" s="32">
        <f>'[31]2020 - 2024'!S50+'[32]2020-2024'!S50</f>
        <v>0</v>
      </c>
      <c r="T50" s="32">
        <f>'[33]2020 - 2024'!T50+'[34]2020-2024'!T50</f>
        <v>0</v>
      </c>
      <c r="U50" s="32">
        <f>'[35]2020 - 2024'!U50+'[36]2020-2024'!U50</f>
        <v>0</v>
      </c>
      <c r="V50" s="32">
        <f>'[37]2020 - 2024'!V50+'[38]2020-2024'!V50</f>
        <v>0</v>
      </c>
      <c r="W50" s="32">
        <f>'[39]2020 - 2025'!W50+'[40]2020-2025'!W50</f>
        <v>0</v>
      </c>
      <c r="X50" s="32">
        <f>'[41]2020 - 2025'!X50+'[42]2020-2025'!X50</f>
        <v>0</v>
      </c>
      <c r="Y50" s="32">
        <f>'[43]2020 - 2025'!Y50+'[44]2020-2025'!Y50</f>
        <v>0</v>
      </c>
      <c r="Z50" s="32">
        <f>'[45]2020 - 2025'!Z50+'[46]2020-2025'!Z50</f>
        <v>0</v>
      </c>
      <c r="AA50" s="32">
        <f>'[47]2020 - 2026'!AA50+'[48]2020-2026'!AA50</f>
        <v>0</v>
      </c>
    </row>
    <row r="51" spans="1:27" ht="15" customHeight="1" x14ac:dyDescent="0.15">
      <c r="B51" s="28" t="s">
        <v>87</v>
      </c>
      <c r="C51" s="32">
        <v>0</v>
      </c>
      <c r="D51" s="32">
        <f>'[3]2015 - 2019'!T51+'[4]2015-2019'!T51</f>
        <v>0</v>
      </c>
      <c r="E51" s="32">
        <f>'[5]2015 - 2019'!U51+'[6]2015-2019'!U51</f>
        <v>0</v>
      </c>
      <c r="F51" s="32">
        <f>'[7]2015 - 2019'!V51+'[8]2015-2019'!V51</f>
        <v>0</v>
      </c>
      <c r="G51" s="32">
        <f>'[9]2015 - 2019'!W51+'[10]2016-2021'!W51</f>
        <v>0</v>
      </c>
      <c r="H51" s="32">
        <f>'[11]2016 - 2021'!X51+'[12]2016-2021'!X51</f>
        <v>0</v>
      </c>
      <c r="I51" s="32">
        <f>'[13]2016 - 2021'!Y51+'[14]2016-2021'!Y51</f>
        <v>0</v>
      </c>
      <c r="J51" s="32">
        <f>'[15]2016 - 2021'!Z51+'[16]2016-2021'!Z51</f>
        <v>149746.609</v>
      </c>
      <c r="K51" s="32">
        <f>'[17]2018 - 2022'!S51+'[18]2018-2022'!S51</f>
        <v>172306.019</v>
      </c>
      <c r="L51" s="32">
        <f>'[19]2018 - 2022'!T51+'[20]2018-2022'!T51</f>
        <v>171877.598</v>
      </c>
      <c r="M51" s="32">
        <f>'[21]2018 - 2022'!U51+'[22]2018-2022'!U51</f>
        <v>171933.92</v>
      </c>
      <c r="N51" s="32">
        <f>'[23]2018 - 2023'!V51+'[24]2018-2023'!V51</f>
        <v>171262.64199999999</v>
      </c>
      <c r="O51" s="32">
        <f>'[23]2018 - 2023'!W51+'[24]2018-2023'!W51</f>
        <v>171910.83</v>
      </c>
      <c r="P51" s="32">
        <f>'[25]2018 - 2023'!X51+'[26]2018-2023'!X51</f>
        <v>0</v>
      </c>
      <c r="Q51" s="32">
        <f>'[27]2018 - 2023'!Y51+'[28]2018-2023'!Y51</f>
        <v>0</v>
      </c>
      <c r="R51" s="32">
        <f>'[29]2018 - 2023'!Z51+'[30]2018-2023'!Z51</f>
        <v>0</v>
      </c>
      <c r="S51" s="32">
        <f>'[31]2020 - 2024'!S51+'[32]2020-2024'!S51</f>
        <v>0</v>
      </c>
      <c r="T51" s="32">
        <f>'[33]2020 - 2024'!T51+'[34]2020-2024'!T51</f>
        <v>0</v>
      </c>
      <c r="U51" s="32">
        <f>'[35]2020 - 2024'!U51+'[36]2020-2024'!U51</f>
        <v>0</v>
      </c>
      <c r="V51" s="32">
        <f>'[37]2020 - 2024'!V51+'[38]2020-2024'!V51</f>
        <v>0</v>
      </c>
      <c r="W51" s="32">
        <f>'[39]2020 - 2025'!W51+'[40]2020-2025'!W51</f>
        <v>0</v>
      </c>
      <c r="X51" s="32">
        <f>'[41]2020 - 2025'!X51+'[42]2020-2025'!X51</f>
        <v>0</v>
      </c>
      <c r="Y51" s="32">
        <f>'[43]2020 - 2025'!Y51+'[44]2020-2025'!Y51</f>
        <v>0</v>
      </c>
      <c r="Z51" s="32">
        <f>'[45]2020 - 2025'!Z51+'[46]2020-2025'!Z51</f>
        <v>0</v>
      </c>
      <c r="AA51" s="32">
        <f>'[47]2020 - 2026'!AA51+'[48]2020-2026'!AA51</f>
        <v>0</v>
      </c>
    </row>
    <row r="52" spans="1:27" ht="12" customHeight="1" x14ac:dyDescent="0.15">
      <c r="B52" s="1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2" customHeight="1" x14ac:dyDescent="0.15"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2" customHeight="1" x14ac:dyDescent="0.15"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5" customHeight="1" x14ac:dyDescent="0.15">
      <c r="A55" s="4">
        <v>4</v>
      </c>
      <c r="B55" s="7" t="s">
        <v>16</v>
      </c>
      <c r="C55" s="19">
        <f t="shared" ref="C55:H55" si="82">+C56+C80</f>
        <v>6690245</v>
      </c>
      <c r="D55" s="19">
        <f t="shared" si="82"/>
        <v>6696922</v>
      </c>
      <c r="E55" s="19">
        <f t="shared" si="82"/>
        <v>6501392</v>
      </c>
      <c r="F55" s="19">
        <f t="shared" si="82"/>
        <v>6011176.5529999994</v>
      </c>
      <c r="G55" s="19">
        <f t="shared" si="82"/>
        <v>5828664.3941400005</v>
      </c>
      <c r="H55" s="19">
        <f t="shared" si="82"/>
        <v>6270665.2748500006</v>
      </c>
      <c r="I55" s="19">
        <f t="shared" ref="I55:J55" si="83">+I56+I80</f>
        <v>6277416.9007699993</v>
      </c>
      <c r="J55" s="19">
        <f t="shared" si="83"/>
        <v>6848613.6475200001</v>
      </c>
      <c r="K55" s="19">
        <f t="shared" ref="K55:L55" si="84">+K56+K80</f>
        <v>6625533.2039700011</v>
      </c>
      <c r="L55" s="19">
        <f t="shared" si="84"/>
        <v>7373143.5626499997</v>
      </c>
      <c r="M55" s="19">
        <f t="shared" ref="M55" si="85">+M56+M80</f>
        <v>7243146.8376099998</v>
      </c>
      <c r="N55" s="19">
        <f t="shared" ref="N55:O55" si="86">+N56+N80</f>
        <v>7361432.1133899996</v>
      </c>
      <c r="O55" s="19">
        <f t="shared" si="86"/>
        <v>7301878.0804500012</v>
      </c>
      <c r="P55" s="19">
        <f t="shared" ref="P55:Q55" si="87">+P56+P80</f>
        <v>7614704.1225500004</v>
      </c>
      <c r="Q55" s="19">
        <f t="shared" si="87"/>
        <v>7707362.0392000005</v>
      </c>
      <c r="R55" s="19">
        <f t="shared" ref="R55:S55" si="88">+R56+R80</f>
        <v>8367122.9338400001</v>
      </c>
      <c r="S55" s="19">
        <f t="shared" si="88"/>
        <v>8091438.8138800003</v>
      </c>
      <c r="T55" s="19">
        <f t="shared" ref="T55:U55" si="89">+T56+T80</f>
        <v>8233564.1272599995</v>
      </c>
      <c r="U55" s="19">
        <f t="shared" si="89"/>
        <v>8080814.1479900014</v>
      </c>
      <c r="V55" s="19">
        <f t="shared" ref="V55" si="90">+V56+V80</f>
        <v>8391481.5887700003</v>
      </c>
      <c r="W55" s="19">
        <f>'[39]2020 - 2025'!W55+'[40]2020-2025'!W55</f>
        <v>8289672.3329899991</v>
      </c>
      <c r="X55" s="19">
        <f>'[41]2020 - 2025'!X55+'[42]2020-2025'!X55</f>
        <v>8213554.3923699996</v>
      </c>
      <c r="Y55" s="19">
        <f>'[43]2020 - 2025'!Y55+'[44]2020-2025'!Y55</f>
        <v>8798408.3420399986</v>
      </c>
      <c r="Z55" s="19">
        <f>'[45]2020 - 2025'!Z55+'[46]2020-2025'!Z55</f>
        <v>9284465.2222099993</v>
      </c>
      <c r="AA55" s="19">
        <f>'[47]2020 - 2026'!AA55+'[48]2020-2026'!AA55</f>
        <v>9065010.5466799997</v>
      </c>
    </row>
    <row r="56" spans="1:27" ht="15" customHeight="1" x14ac:dyDescent="0.15">
      <c r="B56" s="7" t="s">
        <v>36</v>
      </c>
      <c r="C56" s="19">
        <f t="shared" ref="C56:H56" si="91">SUM(C57,C58,C59,C63,C74)</f>
        <v>4785183</v>
      </c>
      <c r="D56" s="19">
        <f t="shared" si="91"/>
        <v>4653782</v>
      </c>
      <c r="E56" s="19">
        <f t="shared" si="91"/>
        <v>4687518</v>
      </c>
      <c r="F56" s="19">
        <f t="shared" si="91"/>
        <v>4443653.477</v>
      </c>
      <c r="G56" s="19">
        <f t="shared" si="91"/>
        <v>4415199.8102700002</v>
      </c>
      <c r="H56" s="19">
        <f t="shared" si="91"/>
        <v>4845705.7311400007</v>
      </c>
      <c r="I56" s="19">
        <f t="shared" ref="I56:J56" si="92">SUM(I57,I58,I59,I63,I74)</f>
        <v>4861444.5393599998</v>
      </c>
      <c r="J56" s="19">
        <f t="shared" si="92"/>
        <v>5231351.2920900006</v>
      </c>
      <c r="K56" s="19">
        <f t="shared" ref="K56:L56" si="93">SUM(K57,K58,K59,K63,K74)</f>
        <v>5103361.3758800011</v>
      </c>
      <c r="L56" s="19">
        <f t="shared" si="93"/>
        <v>5904122.9710799996</v>
      </c>
      <c r="M56" s="19">
        <f t="shared" ref="M56" si="94">SUM(M57,M58,M59,M63,M74)</f>
        <v>5790867.3859099997</v>
      </c>
      <c r="N56" s="19">
        <f t="shared" ref="N56:O56" si="95">SUM(N57,N58,N59,N63,N74)</f>
        <v>5819400.7697099997</v>
      </c>
      <c r="O56" s="19">
        <f t="shared" si="95"/>
        <v>5466802.2191800009</v>
      </c>
      <c r="P56" s="19">
        <f t="shared" ref="P56:Q56" si="96">SUM(P57,P58,P59,P63,P74)</f>
        <v>5647013.6485100007</v>
      </c>
      <c r="Q56" s="19">
        <f t="shared" si="96"/>
        <v>5646834.8436500002</v>
      </c>
      <c r="R56" s="19">
        <f t="shared" ref="R56:S56" si="97">SUM(R57,R58,R59,R63,R74)</f>
        <v>5988483.0455</v>
      </c>
      <c r="S56" s="19">
        <f t="shared" si="97"/>
        <v>5663157.1703300001</v>
      </c>
      <c r="T56" s="19">
        <f t="shared" ref="T56:U56" si="98">SUM(T57,T58,T59,T63,T74)</f>
        <v>5826337.9951099996</v>
      </c>
      <c r="U56" s="19">
        <f t="shared" si="98"/>
        <v>5611433.0617600009</v>
      </c>
      <c r="V56" s="19">
        <f t="shared" ref="V56" si="99">SUM(V57,V58,V59,V63,V74)</f>
        <v>5954195.6259400006</v>
      </c>
      <c r="W56" s="19">
        <f>'[39]2020 - 2025'!W56+'[40]2020-2025'!W56</f>
        <v>5935826.8085899996</v>
      </c>
      <c r="X56" s="19">
        <f>'[41]2020 - 2025'!X56+'[42]2020-2025'!X56</f>
        <v>5994995.4316999996</v>
      </c>
      <c r="Y56" s="19">
        <f>'[43]2020 - 2025'!Y56+'[44]2020-2025'!Y56</f>
        <v>6192539.6021400001</v>
      </c>
      <c r="Z56" s="19">
        <f>'[45]2020 - 2025'!Z56+'[46]2020-2025'!Z56</f>
        <v>6698335.2391499998</v>
      </c>
      <c r="AA56" s="19">
        <f>'[47]2020 - 2026'!AA56+'[48]2020-2026'!AA56</f>
        <v>6510212.4761399999</v>
      </c>
    </row>
    <row r="57" spans="1:27" ht="15" customHeight="1" x14ac:dyDescent="0.15">
      <c r="B57" s="20" t="s">
        <v>3</v>
      </c>
      <c r="C57" s="32">
        <f>'[1]2015 - 2019'!S57+'[2]2015-2019'!S57</f>
        <v>262785</v>
      </c>
      <c r="D57" s="32">
        <f>'[3]2015 - 2019'!T57+'[4]2015-2019'!T57</f>
        <v>257709</v>
      </c>
      <c r="E57" s="32">
        <f>'[5]2015 - 2019'!U57+'[6]2015-2019'!U57</f>
        <v>243379</v>
      </c>
      <c r="F57" s="32">
        <f>'[7]2015 - 2019'!V57+'[8]2015-2019'!V57</f>
        <v>238297.57500000001</v>
      </c>
      <c r="G57" s="32">
        <f>'[9]2015 - 2019'!W57+'[10]2016-2021'!W57</f>
        <v>224447.88380000001</v>
      </c>
      <c r="H57" s="32">
        <f>'[11]2016 - 2021'!X57+'[12]2016-2021'!X57</f>
        <v>222705.81</v>
      </c>
      <c r="I57" s="32">
        <f>'[13]2016 - 2021'!Y57+'[14]2016-2021'!Y57</f>
        <v>215265.8235</v>
      </c>
      <c r="J57" s="32">
        <f>'[15]2016 - 2021'!Z57+'[16]2016-2021'!Z57</f>
        <v>210670.08111999999</v>
      </c>
      <c r="K57" s="32">
        <f>'[17]2018 - 2022'!S57+'[18]2018-2022'!S57</f>
        <v>196820.38</v>
      </c>
      <c r="L57" s="32">
        <f>'[19]2018 - 2022'!T57+'[20]2018-2022'!T57</f>
        <v>518666.37053000001</v>
      </c>
      <c r="M57" s="32">
        <f>'[21]2018 - 2022'!U57+'[22]2018-2022'!U57</f>
        <v>498557.01348999998</v>
      </c>
      <c r="N57" s="32">
        <f>'[23]2018 - 2023'!V57+'[24]2018-2023'!V57</f>
        <v>488437.30926000001</v>
      </c>
      <c r="O57" s="32">
        <f>'[23]2018 - 2023'!W57+'[24]2018-2023'!W57</f>
        <v>467683.96325999999</v>
      </c>
      <c r="P57" s="32">
        <f>'[25]2018 - 2023'!X57+'[26]2018-2023'!X57</f>
        <v>494458.05468</v>
      </c>
      <c r="Q57" s="32">
        <f>'[27]2018 - 2023'!Y57+'[28]2018-2023'!Y57</f>
        <v>513413.79412999999</v>
      </c>
      <c r="R57" s="32">
        <f>'[29]2018 - 2023'!Z57+'[30]2018-2023'!Z57</f>
        <v>504420.60230999999</v>
      </c>
      <c r="S57" s="32">
        <f>'[31]2020 - 2024'!S57+'[32]2020-2024'!S57</f>
        <v>486158.10161999997</v>
      </c>
      <c r="T57" s="32">
        <f>'[33]2020 - 2024'!T57+'[34]2020-2024'!T57</f>
        <v>477116.95867000002</v>
      </c>
      <c r="U57" s="32">
        <f>'[35]2020 - 2024'!U57+'[36]2020-2024'!U57</f>
        <v>457921.37927999999</v>
      </c>
      <c r="V57" s="32">
        <f>'[37]2020 - 2024'!V57+'[38]2020-2024'!V57</f>
        <v>448919.69270000001</v>
      </c>
      <c r="W57" s="32">
        <f>'[39]2020 - 2025'!W57+'[40]2020-2025'!W57</f>
        <v>430619.32909999997</v>
      </c>
      <c r="X57" s="32">
        <f>'[41]2020 - 2025'!X57+'[42]2020-2025'!X57</f>
        <v>421592.90057</v>
      </c>
      <c r="Y57" s="32">
        <f>'[43]2020 - 2025'!Y57+'[44]2020-2025'!Y57</f>
        <v>585970.04958999995</v>
      </c>
      <c r="Z57" s="32">
        <f>'[45]2020 - 2025'!Z57+'[46]2020-2025'!Z57</f>
        <v>573881.59403000004</v>
      </c>
      <c r="AA57" s="32">
        <f>'[47]2020 - 2026'!AA57+'[48]2020-2026'!AA57</f>
        <v>552531.48143000004</v>
      </c>
    </row>
    <row r="58" spans="1:27" ht="15" customHeight="1" x14ac:dyDescent="0.15">
      <c r="B58" s="20" t="s">
        <v>14</v>
      </c>
      <c r="C58" s="32">
        <f>'[1]2015 - 2019'!S58+'[2]2015-2019'!S58</f>
        <v>67072</v>
      </c>
      <c r="D58" s="32">
        <f>'[3]2015 - 2019'!T58+'[4]2015-2019'!T58</f>
        <v>59250</v>
      </c>
      <c r="E58" s="32">
        <f>'[5]2015 - 2019'!U58+'[6]2015-2019'!U58</f>
        <v>46285</v>
      </c>
      <c r="F58" s="32">
        <f>'[7]2015 - 2019'!V58+'[8]2015-2019'!V58</f>
        <v>46476.716</v>
      </c>
      <c r="G58" s="32">
        <f>'[9]2015 - 2019'!W58+'[10]2016-2021'!W58</f>
        <v>44949.678999999996</v>
      </c>
      <c r="H58" s="32">
        <f>'[11]2016 - 2021'!X58+'[12]2016-2021'!X58</f>
        <v>42314.561999999998</v>
      </c>
      <c r="I58" s="32">
        <f>'[13]2016 - 2021'!Y58+'[14]2016-2021'!Y58</f>
        <v>41526.963199999998</v>
      </c>
      <c r="J58" s="32">
        <f>'[15]2016 - 2021'!Z58+'[16]2016-2021'!Z58</f>
        <v>35694.495999999999</v>
      </c>
      <c r="K58" s="32">
        <f>'[17]2018 - 2022'!S58+'[18]2018-2022'!S58</f>
        <v>31499.052</v>
      </c>
      <c r="L58" s="32">
        <f>'[19]2018 - 2022'!T58+'[20]2018-2022'!T58</f>
        <v>28261.531999999999</v>
      </c>
      <c r="M58" s="32">
        <f>'[21]2018 - 2022'!U58+'[22]2018-2022'!U58</f>
        <v>27837.731</v>
      </c>
      <c r="N58" s="32">
        <f>'[23]2018 - 2023'!V58+'[24]2018-2023'!V58</f>
        <v>24877.5825</v>
      </c>
      <c r="O58" s="32">
        <f>'[23]2018 - 2023'!W58+'[24]2018-2023'!W58</f>
        <v>24682.619330000001</v>
      </c>
      <c r="P58" s="32">
        <f>'[25]2018 - 2023'!X58+'[26]2018-2023'!X58</f>
        <v>21218.652590000002</v>
      </c>
      <c r="Q58" s="32">
        <f>'[27]2018 - 2023'!Y58+'[28]2018-2023'!Y58</f>
        <v>20769.85454</v>
      </c>
      <c r="R58" s="32">
        <f>'[29]2018 - 2023'!Z58+'[30]2018-2023'!Z58</f>
        <v>18467.562020000001</v>
      </c>
      <c r="S58" s="32">
        <f>'[31]2020 - 2024'!S58+'[32]2020-2024'!S58</f>
        <v>20228.279200000001</v>
      </c>
      <c r="T58" s="32">
        <f>'[33]2020 - 2024'!T58+'[34]2020-2024'!T58</f>
        <v>17447.25776</v>
      </c>
      <c r="U58" s="32">
        <f>'[35]2020 - 2024'!U58+'[36]2020-2024'!U58</f>
        <v>17214.585299999999</v>
      </c>
      <c r="V58" s="32">
        <f>'[37]2020 - 2024'!V58+'[38]2020-2024'!V58</f>
        <v>20176.91445</v>
      </c>
      <c r="W58" s="32">
        <f>'[39]2020 - 2025'!W58+'[40]2020-2025'!W58</f>
        <v>20791.523349999999</v>
      </c>
      <c r="X58" s="32">
        <f>'[41]2020 - 2025'!X58+'[42]2020-2025'!X58</f>
        <v>18919.852149999999</v>
      </c>
      <c r="Y58" s="32">
        <f>'[43]2020 - 2025'!Y58+'[44]2020-2025'!Y58</f>
        <v>17682.903109999999</v>
      </c>
      <c r="Z58" s="32">
        <f>'[45]2020 - 2025'!Z58+'[46]2020-2025'!Z58</f>
        <v>19047.31652</v>
      </c>
      <c r="AA58" s="32">
        <f>'[47]2020 - 2026'!AA58+'[48]2020-2026'!AA58</f>
        <v>17902.610479999999</v>
      </c>
    </row>
    <row r="59" spans="1:27" ht="15" customHeight="1" x14ac:dyDescent="0.15">
      <c r="B59" s="20" t="s">
        <v>17</v>
      </c>
      <c r="C59" s="32">
        <f t="shared" ref="C59:E59" si="100">+C60+C61+C62</f>
        <v>1238446</v>
      </c>
      <c r="D59" s="32">
        <f t="shared" si="100"/>
        <v>1178323</v>
      </c>
      <c r="E59" s="32">
        <f t="shared" si="100"/>
        <v>1229678</v>
      </c>
      <c r="F59" s="32">
        <f t="shared" ref="F59:G59" si="101">+F60+F61+F62</f>
        <v>1207875.4180000001</v>
      </c>
      <c r="G59" s="32">
        <f t="shared" si="101"/>
        <v>1244756.8499099999</v>
      </c>
      <c r="H59" s="32">
        <f t="shared" ref="H59:I59" si="102">+H60+H61+H62</f>
        <v>1300114.80375</v>
      </c>
      <c r="I59" s="32">
        <f t="shared" si="102"/>
        <v>1340189.1081900001</v>
      </c>
      <c r="J59" s="32">
        <f t="shared" ref="J59:K59" si="103">+J60+J61+J62</f>
        <v>1375232.30782</v>
      </c>
      <c r="K59" s="32">
        <f t="shared" si="103"/>
        <v>1417947.8264100002</v>
      </c>
      <c r="L59" s="32">
        <f t="shared" ref="L59:M59" si="104">+L60+L61+L62</f>
        <v>1434453.83813</v>
      </c>
      <c r="M59" s="32">
        <f t="shared" si="104"/>
        <v>1424677.8054</v>
      </c>
      <c r="N59" s="32">
        <f t="shared" ref="N59:O59" si="105">+N60+N61+N62</f>
        <v>1371462.5605299999</v>
      </c>
      <c r="O59" s="32">
        <f t="shared" si="105"/>
        <v>1362355.76505</v>
      </c>
      <c r="P59" s="32">
        <f t="shared" ref="P59:Q59" si="106">+P60+P61+P62</f>
        <v>1415653.72988</v>
      </c>
      <c r="Q59" s="32">
        <f t="shared" si="106"/>
        <v>1567350.98083</v>
      </c>
      <c r="R59" s="32">
        <f t="shared" ref="R59:S59" si="107">+R60+R61+R62</f>
        <v>1584200.7212999999</v>
      </c>
      <c r="S59" s="32">
        <f t="shared" si="107"/>
        <v>1624197.8126600003</v>
      </c>
      <c r="T59" s="32">
        <f t="shared" ref="T59:U59" si="108">+T60+T61+T62</f>
        <v>1571068.82391</v>
      </c>
      <c r="U59" s="32">
        <f t="shared" si="108"/>
        <v>1561656.24609</v>
      </c>
      <c r="V59" s="32">
        <f t="shared" ref="V59" si="109">+V60+V61+V62</f>
        <v>1582574.28896</v>
      </c>
      <c r="W59" s="32">
        <f>'[39]2020 - 2025'!W59+'[40]2020-2025'!W59</f>
        <v>1605995.1823</v>
      </c>
      <c r="X59" s="32">
        <f>'[41]2020 - 2025'!X59+'[42]2020-2025'!X59</f>
        <v>1574870.9624899998</v>
      </c>
      <c r="Y59" s="32">
        <f>'[43]2020 - 2025'!Y59+'[44]2020-2025'!Y59</f>
        <v>1594930.55596</v>
      </c>
      <c r="Z59" s="32">
        <f>'[45]2020 - 2025'!Z59+'[46]2020-2025'!Z59</f>
        <v>1591752.8811000001</v>
      </c>
      <c r="AA59" s="32">
        <f>'[47]2020 - 2026'!AA59+'[48]2020-2026'!AA59</f>
        <v>1613983.2378199999</v>
      </c>
    </row>
    <row r="60" spans="1:27" s="21" customFormat="1" ht="15" customHeight="1" x14ac:dyDescent="0.15">
      <c r="A60" s="29"/>
      <c r="B60" s="30" t="s">
        <v>27</v>
      </c>
      <c r="C60" s="31">
        <f>'[1]2015 - 2019'!S60+'[2]2015-2019'!S60</f>
        <v>382138</v>
      </c>
      <c r="D60" s="31">
        <f>'[3]2015 - 2019'!T60+'[4]2015-2019'!T60</f>
        <v>311488</v>
      </c>
      <c r="E60" s="31">
        <f>'[5]2015 - 2019'!U60+'[6]2015-2019'!U60</f>
        <v>324076</v>
      </c>
      <c r="F60" s="31">
        <f>'[7]2015 - 2019'!V60+'[8]2015-2019'!V60</f>
        <v>284018.05699999997</v>
      </c>
      <c r="G60" s="31">
        <f>'[9]2015 - 2019'!W60+'[10]2016-2021'!W60</f>
        <v>283600.53483000002</v>
      </c>
      <c r="H60" s="31">
        <f>'[11]2016 - 2021'!X60+'[12]2016-2021'!X60</f>
        <v>272289.45166000002</v>
      </c>
      <c r="I60" s="31">
        <f>'[13]2016 - 2021'!Y60+'[14]2016-2021'!Y60</f>
        <v>243251.31297999999</v>
      </c>
      <c r="J60" s="31">
        <f>'[15]2016 - 2021'!Z60+'[16]2016-2021'!Z60</f>
        <v>248764.14240000001</v>
      </c>
      <c r="K60" s="31">
        <f>'[17]2018 - 2022'!S60+'[18]2018-2022'!S60</f>
        <v>254212.32177000001</v>
      </c>
      <c r="L60" s="31">
        <f>'[19]2018 - 2022'!T60+'[20]2018-2022'!T60</f>
        <v>239757.04417000001</v>
      </c>
      <c r="M60" s="31">
        <f>'[21]2018 - 2022'!U60+'[22]2018-2022'!U60</f>
        <v>303124.76517999999</v>
      </c>
      <c r="N60" s="31">
        <f>'[23]2018 - 2023'!V60+'[24]2018-2023'!V60</f>
        <v>248960.80436000001</v>
      </c>
      <c r="O60" s="31">
        <f>'[23]2018 - 2023'!W60+'[24]2018-2023'!W60</f>
        <v>280528.92608</v>
      </c>
      <c r="P60" s="31">
        <f>'[25]2018 - 2023'!X60+'[26]2018-2023'!X60</f>
        <v>279434.79917000001</v>
      </c>
      <c r="Q60" s="31">
        <f>'[27]2018 - 2023'!Y60+'[28]2018-2023'!Y60</f>
        <v>365328.55955000001</v>
      </c>
      <c r="R60" s="31">
        <f>'[29]2018 - 2023'!Z60+'[30]2018-2023'!Z60</f>
        <v>355519.85563000001</v>
      </c>
      <c r="S60" s="31">
        <f>'[31]2020 - 2024'!S60+'[32]2020-2024'!S60</f>
        <v>374033.47350000002</v>
      </c>
      <c r="T60" s="31">
        <f>'[33]2020 - 2024'!T60+'[34]2020-2024'!T60</f>
        <v>290741.56865999999</v>
      </c>
      <c r="U60" s="31">
        <f>'[35]2020 - 2024'!U60+'[36]2020-2024'!U60</f>
        <v>335438.62169</v>
      </c>
      <c r="V60" s="31">
        <f>'[37]2020 - 2024'!V60+'[38]2020-2024'!V60</f>
        <v>346203.54031000001</v>
      </c>
      <c r="W60" s="31">
        <f>'[39]2020 - 2025'!W60+'[40]2020-2025'!W60</f>
        <v>373425.38037000003</v>
      </c>
      <c r="X60" s="31">
        <f>'[41]2020 - 2025'!X60+'[42]2020-2025'!X60</f>
        <v>395838.14675000001</v>
      </c>
      <c r="Y60" s="31">
        <f>'[43]2020 - 2025'!Y60+'[44]2020-2025'!Y60</f>
        <v>456508.61505999998</v>
      </c>
      <c r="Z60" s="31">
        <f>'[45]2020 - 2025'!Z60+'[46]2020-2025'!Z60</f>
        <v>458143.43835999997</v>
      </c>
      <c r="AA60" s="31">
        <f>'[47]2020 - 2026'!AA60+'[48]2020-2026'!AA60</f>
        <v>463718.35464999999</v>
      </c>
    </row>
    <row r="61" spans="1:27" s="21" customFormat="1" ht="15" customHeight="1" x14ac:dyDescent="0.15">
      <c r="A61" s="29"/>
      <c r="B61" s="30" t="s">
        <v>28</v>
      </c>
      <c r="C61" s="31">
        <f>'[1]2015 - 2019'!S61+'[2]2015-2019'!S61</f>
        <v>136695</v>
      </c>
      <c r="D61" s="31">
        <f>'[3]2015 - 2019'!T61+'[4]2015-2019'!T61</f>
        <v>137574</v>
      </c>
      <c r="E61" s="31">
        <f>'[5]2015 - 2019'!U61+'[6]2015-2019'!U61</f>
        <v>145326</v>
      </c>
      <c r="F61" s="31">
        <f>'[7]2015 - 2019'!V61+'[8]2015-2019'!V61</f>
        <v>140378.59899999999</v>
      </c>
      <c r="G61" s="31">
        <f>'[9]2015 - 2019'!W61+'[10]2016-2021'!W61</f>
        <v>139006.89024000001</v>
      </c>
      <c r="H61" s="31">
        <f>'[11]2016 - 2021'!X61+'[12]2016-2021'!X61</f>
        <v>154506.55016000001</v>
      </c>
      <c r="I61" s="31">
        <f>'[13]2016 - 2021'!Y61+'[14]2016-2021'!Y61</f>
        <v>145321.57219000001</v>
      </c>
      <c r="J61" s="31">
        <f>'[15]2016 - 2021'!Z61+'[16]2016-2021'!Z61</f>
        <v>151569.32816</v>
      </c>
      <c r="K61" s="31">
        <f>'[17]2018 - 2022'!S61+'[18]2018-2022'!S61</f>
        <v>155086.39058000001</v>
      </c>
      <c r="L61" s="31">
        <f>'[19]2018 - 2022'!T61+'[20]2018-2022'!T61</f>
        <v>173752.01295999999</v>
      </c>
      <c r="M61" s="31">
        <f>'[21]2018 - 2022'!U61+'[22]2018-2022'!U61</f>
        <v>162452.54801999999</v>
      </c>
      <c r="N61" s="31">
        <f>'[23]2018 - 2023'!V61+'[24]2018-2023'!V61</f>
        <v>173431.68698999999</v>
      </c>
      <c r="O61" s="31">
        <f>'[23]2018 - 2023'!W61+'[24]2018-2023'!W61</f>
        <v>180021.46317</v>
      </c>
      <c r="P61" s="31">
        <f>'[25]2018 - 2023'!X61+'[26]2018-2023'!X61</f>
        <v>179200.16905999999</v>
      </c>
      <c r="Q61" s="31">
        <f>'[27]2018 - 2023'!Y61+'[28]2018-2023'!Y61</f>
        <v>161038.90356000001</v>
      </c>
      <c r="R61" s="31">
        <f>'[29]2018 - 2023'!Z61+'[30]2018-2023'!Z61</f>
        <v>168138.11244</v>
      </c>
      <c r="S61" s="31">
        <f>'[31]2020 - 2024'!S61+'[32]2020-2024'!S61</f>
        <v>172026.38634999999</v>
      </c>
      <c r="T61" s="31">
        <f>'[33]2020 - 2024'!T61+'[34]2020-2024'!T61</f>
        <v>185452.60639</v>
      </c>
      <c r="U61" s="31">
        <f>'[35]2020 - 2024'!U61+'[36]2020-2024'!U61</f>
        <v>192801.08012</v>
      </c>
      <c r="V61" s="31">
        <f>'[37]2020 - 2024'!V61+'[38]2020-2024'!V61</f>
        <v>174363.28346999999</v>
      </c>
      <c r="W61" s="31">
        <f>'[39]2020 - 2025'!W61+'[40]2020-2025'!W61</f>
        <v>181359.69920999999</v>
      </c>
      <c r="X61" s="31">
        <f>'[41]2020 - 2025'!X61+'[42]2020-2025'!X61</f>
        <v>191747.52669999999</v>
      </c>
      <c r="Y61" s="31">
        <f>'[43]2020 - 2025'!Y61+'[44]2020-2025'!Y61</f>
        <v>143610.21335999999</v>
      </c>
      <c r="Z61" s="31">
        <f>'[45]2020 - 2025'!Z61+'[46]2020-2025'!Z61</f>
        <v>159125.09826999999</v>
      </c>
      <c r="AA61" s="31">
        <f>'[47]2020 - 2026'!AA61+'[48]2020-2026'!AA61</f>
        <v>165165.09200999999</v>
      </c>
    </row>
    <row r="62" spans="1:27" s="21" customFormat="1" ht="15" customHeight="1" x14ac:dyDescent="0.15">
      <c r="A62" s="29"/>
      <c r="B62" s="30" t="s">
        <v>93</v>
      </c>
      <c r="C62" s="31">
        <f>'[1]2015 - 2019'!S62+'[2]2015-2019'!S62</f>
        <v>719613</v>
      </c>
      <c r="D62" s="31">
        <f>'[3]2015 - 2019'!T62+'[4]2015-2019'!T62</f>
        <v>729261</v>
      </c>
      <c r="E62" s="31">
        <f>'[5]2015 - 2019'!U62+'[6]2015-2019'!U62</f>
        <v>760276</v>
      </c>
      <c r="F62" s="31">
        <f>'[7]2015 - 2019'!V62+'[8]2015-2019'!V62</f>
        <v>783478.76199999999</v>
      </c>
      <c r="G62" s="31">
        <f>'[9]2015 - 2019'!W62+'[10]2016-2021'!W62</f>
        <v>822149.42483999999</v>
      </c>
      <c r="H62" s="31">
        <f>'[11]2016 - 2021'!X62+'[12]2016-2021'!X62</f>
        <v>873318.80192999996</v>
      </c>
      <c r="I62" s="31">
        <f>'[13]2016 - 2021'!Y62+'[14]2016-2021'!Y62</f>
        <v>951616.22302000003</v>
      </c>
      <c r="J62" s="31">
        <f>'[15]2016 - 2021'!Z62+'[16]2016-2021'!Z62</f>
        <v>974898.83725999994</v>
      </c>
      <c r="K62" s="31">
        <f>'[17]2018 - 2022'!S62+'[18]2018-2022'!S62</f>
        <v>1008649.1140600001</v>
      </c>
      <c r="L62" s="31">
        <f>'[19]2018 - 2022'!T62+'[20]2018-2022'!T62</f>
        <v>1020944.781</v>
      </c>
      <c r="M62" s="31">
        <f>'[21]2018 - 2022'!U62+'[22]2018-2022'!U62</f>
        <v>959100.49219999998</v>
      </c>
      <c r="N62" s="31">
        <f>'[23]2018 - 2023'!V62+'[24]2018-2023'!V62</f>
        <v>949070.06917999999</v>
      </c>
      <c r="O62" s="31">
        <f>'[23]2018 - 2023'!W62+'[24]2018-2023'!W62</f>
        <v>901805.37580000004</v>
      </c>
      <c r="P62" s="31">
        <f>'[25]2018 - 2023'!X62+'[26]2018-2023'!X62</f>
        <v>957018.76165</v>
      </c>
      <c r="Q62" s="31">
        <f>'[27]2018 - 2023'!Y62+'[28]2018-2023'!Y62</f>
        <v>1040983.51772</v>
      </c>
      <c r="R62" s="31">
        <f>'[29]2018 - 2023'!Z62+'[30]2018-2023'!Z62</f>
        <v>1060542.7532299999</v>
      </c>
      <c r="S62" s="31">
        <f>'[31]2020 - 2024'!S62+'[32]2020-2024'!S62</f>
        <v>1078137.9528100002</v>
      </c>
      <c r="T62" s="31">
        <f>'[33]2020 - 2024'!T62+'[34]2020-2024'!T62</f>
        <v>1094874.6488600001</v>
      </c>
      <c r="U62" s="31">
        <f>'[35]2020 - 2024'!U62+'[36]2020-2024'!U62</f>
        <v>1033416.54428</v>
      </c>
      <c r="V62" s="31">
        <f>'[37]2020 - 2024'!V62+'[38]2020-2024'!V62</f>
        <v>1062007.4651800001</v>
      </c>
      <c r="W62" s="31">
        <f>'[39]2020 - 2025'!W62+'[40]2020-2025'!W62</f>
        <v>1051210.1027199998</v>
      </c>
      <c r="X62" s="31">
        <f>'[41]2020 - 2025'!X62+'[42]2020-2025'!X62</f>
        <v>987285.28903999995</v>
      </c>
      <c r="Y62" s="31">
        <f>'[43]2020 - 2025'!Y62+'[44]2020-2025'!Y62</f>
        <v>994811.72753999999</v>
      </c>
      <c r="Z62" s="31">
        <f>'[45]2020 - 2025'!Z62+'[46]2020-2025'!Z62</f>
        <v>974484.34447000001</v>
      </c>
      <c r="AA62" s="31">
        <f>'[47]2020 - 2026'!AA62+'[48]2020-2026'!AA62</f>
        <v>985099.79116000002</v>
      </c>
    </row>
    <row r="63" spans="1:27" s="33" customFormat="1" ht="15" customHeight="1" x14ac:dyDescent="0.15">
      <c r="A63" s="1"/>
      <c r="B63" s="20" t="s">
        <v>59</v>
      </c>
      <c r="C63" s="13">
        <f t="shared" ref="C63:E63" si="110">+C64+C68</f>
        <v>737878</v>
      </c>
      <c r="D63" s="13">
        <f t="shared" si="110"/>
        <v>675003</v>
      </c>
      <c r="E63" s="13">
        <f t="shared" si="110"/>
        <v>653868</v>
      </c>
      <c r="F63" s="13">
        <f t="shared" ref="F63:G63" si="111">+F64+F68</f>
        <v>358708.27600000001</v>
      </c>
      <c r="G63" s="13">
        <f t="shared" si="111"/>
        <v>277797.87995999999</v>
      </c>
      <c r="H63" s="13">
        <f t="shared" ref="H63:I63" si="112">+H64+H68</f>
        <v>611391.78237000015</v>
      </c>
      <c r="I63" s="13">
        <f t="shared" si="112"/>
        <v>508297.50918000005</v>
      </c>
      <c r="J63" s="13">
        <f t="shared" ref="J63:K63" si="113">+J64+J68</f>
        <v>840657.63795999985</v>
      </c>
      <c r="K63" s="13">
        <f t="shared" si="113"/>
        <v>619846.69438999996</v>
      </c>
      <c r="L63" s="13">
        <f t="shared" ref="L63:M63" si="114">+L64+L68</f>
        <v>1035854.9476999999</v>
      </c>
      <c r="M63" s="13">
        <f t="shared" si="114"/>
        <v>890707.18163000001</v>
      </c>
      <c r="N63" s="13">
        <f t="shared" ref="N63:O63" si="115">+N64+N68</f>
        <v>974022.70869000012</v>
      </c>
      <c r="O63" s="13">
        <f t="shared" si="115"/>
        <v>668626.23644000012</v>
      </c>
      <c r="P63" s="13">
        <f t="shared" ref="P63:Q63" si="116">+P64+P68</f>
        <v>760003.93169</v>
      </c>
      <c r="Q63" s="13">
        <f t="shared" si="116"/>
        <v>595526.96788000001</v>
      </c>
      <c r="R63" s="13">
        <f t="shared" ref="R63:S63" si="117">+R64+R68</f>
        <v>916994.25043000013</v>
      </c>
      <c r="S63" s="13">
        <f t="shared" si="117"/>
        <v>573232.45016000001</v>
      </c>
      <c r="T63" s="13">
        <f t="shared" ref="T63:U63" si="118">+T64+T68</f>
        <v>744330.72620999999</v>
      </c>
      <c r="U63" s="13">
        <f t="shared" si="118"/>
        <v>516563.66941999999</v>
      </c>
      <c r="V63" s="13">
        <f t="shared" ref="V63" si="119">+V64+V68</f>
        <v>810560.23634000006</v>
      </c>
      <c r="W63" s="13">
        <f>'[39]2020 - 2025'!W63+'[40]2020-2025'!W63</f>
        <v>752939.34343999997</v>
      </c>
      <c r="X63" s="13">
        <f>'[41]2020 - 2025'!X63+'[42]2020-2025'!X63</f>
        <v>822118.47040999995</v>
      </c>
      <c r="Y63" s="13">
        <f>'[43]2020 - 2025'!Y63+'[44]2020-2025'!Y63</f>
        <v>797284.4860899999</v>
      </c>
      <c r="Z63" s="13">
        <f>'[45]2020 - 2025'!Z63+'[46]2020-2025'!Z63</f>
        <v>1259847.33375</v>
      </c>
      <c r="AA63" s="13">
        <f>'[47]2020 - 2026'!AA63+'[48]2020-2026'!AA63</f>
        <v>1039563.37548</v>
      </c>
    </row>
    <row r="64" spans="1:27" s="33" customFormat="1" ht="15" customHeight="1" x14ac:dyDescent="0.15">
      <c r="A64" s="1"/>
      <c r="B64" s="34" t="s">
        <v>50</v>
      </c>
      <c r="C64" s="115">
        <f t="shared" ref="C64:G64" si="120">C65+C66+C67</f>
        <v>21</v>
      </c>
      <c r="D64" s="115">
        <f t="shared" si="120"/>
        <v>4</v>
      </c>
      <c r="E64" s="115">
        <f t="shared" si="120"/>
        <v>47473</v>
      </c>
      <c r="F64" s="115">
        <f t="shared" si="120"/>
        <v>31.411000000000001</v>
      </c>
      <c r="G64" s="115">
        <f t="shared" si="120"/>
        <v>0.78017999999999998</v>
      </c>
      <c r="H64" s="115">
        <f t="shared" ref="H64:I64" si="121">H65+H66+H67</f>
        <v>0.75631000000000004</v>
      </c>
      <c r="I64" s="115">
        <f t="shared" si="121"/>
        <v>0.75988</v>
      </c>
      <c r="J64" s="115">
        <f t="shared" ref="J64:K64" si="122">J65+J66+J67</f>
        <v>0.77227000000000001</v>
      </c>
      <c r="K64" s="115">
        <f t="shared" si="122"/>
        <v>0.85104999999999997</v>
      </c>
      <c r="L64" s="115">
        <f t="shared" ref="L64:M64" si="123">L65+L66+L67</f>
        <v>42.725929999999998</v>
      </c>
      <c r="M64" s="115">
        <f t="shared" si="123"/>
        <v>0.89607999999999999</v>
      </c>
      <c r="N64" s="115">
        <f t="shared" ref="N64:O64" si="124">N65+N66+N67</f>
        <v>2.08067</v>
      </c>
      <c r="O64" s="115">
        <f t="shared" si="124"/>
        <v>15.04604</v>
      </c>
      <c r="P64" s="115">
        <f t="shared" ref="P64:Q64" si="125">P65+P66+P67</f>
        <v>51.775080000000003</v>
      </c>
      <c r="Q64" s="115">
        <f t="shared" si="125"/>
        <v>82.66516</v>
      </c>
      <c r="R64" s="115">
        <f t="shared" ref="R64:S64" si="126">R65+R66+R67</f>
        <v>274.86811</v>
      </c>
      <c r="S64" s="115">
        <f t="shared" si="126"/>
        <v>7.7542799999999996</v>
      </c>
      <c r="T64" s="115">
        <f t="shared" ref="T64:U64" si="127">T65+T66+T67</f>
        <v>25.549479999999999</v>
      </c>
      <c r="U64" s="115">
        <f t="shared" si="127"/>
        <v>33.986440000000002</v>
      </c>
      <c r="V64" s="115">
        <f t="shared" ref="V64" si="128">V65+V66+V67</f>
        <v>558.26180999999997</v>
      </c>
      <c r="W64" s="115">
        <f>'[39]2020 - 2025'!W64+'[40]2020-2025'!W64</f>
        <v>1865.13221</v>
      </c>
      <c r="X64" s="115">
        <f>'[41]2020 - 2025'!X64+'[42]2020-2025'!X64</f>
        <v>62.382550000000002</v>
      </c>
      <c r="Y64" s="115">
        <f>'[43]2020 - 2025'!Y64+'[44]2020-2025'!Y64</f>
        <v>413.48275999999998</v>
      </c>
      <c r="Z64" s="115">
        <f>'[45]2020 - 2025'!Z64+'[46]2020-2025'!Z64</f>
        <v>584.31679999999994</v>
      </c>
      <c r="AA64" s="115">
        <f>'[47]2020 - 2026'!AA64+'[48]2020-2026'!AA64</f>
        <v>636.36247000000003</v>
      </c>
    </row>
    <row r="65" spans="1:27" s="33" customFormat="1" ht="15" customHeight="1" x14ac:dyDescent="0.15">
      <c r="A65" s="1"/>
      <c r="B65" s="30" t="s">
        <v>51</v>
      </c>
      <c r="C65" s="31">
        <f>'[1]2015 - 2019'!S65+'[2]2015-2019'!S65</f>
        <v>0</v>
      </c>
      <c r="D65" s="31">
        <f>'[3]2015 - 2019'!T65+'[4]2015-2019'!T65</f>
        <v>0</v>
      </c>
      <c r="E65" s="31">
        <f>'[5]2015 - 2019'!U65+'[6]2015-2019'!U65</f>
        <v>0</v>
      </c>
      <c r="F65" s="31">
        <f>'[7]2015 - 2019'!V65+'[8]2015-2019'!V65</f>
        <v>0</v>
      </c>
      <c r="G65" s="31">
        <f>'[9]2015 - 2019'!W65+'[10]2016-2021'!W65</f>
        <v>0</v>
      </c>
      <c r="H65" s="31">
        <f>'[11]2016 - 2021'!X65+'[12]2016-2021'!X65</f>
        <v>0</v>
      </c>
      <c r="I65" s="31">
        <f>'[13]2016 - 2021'!Y65+'[14]2016-2021'!Y65</f>
        <v>0</v>
      </c>
      <c r="J65" s="31">
        <f>'[15]2016 - 2021'!Z65+'[16]2016-2021'!Z65</f>
        <v>0</v>
      </c>
      <c r="K65" s="31">
        <f>'[17]2018 - 2022'!S65+'[18]2018-2022'!S65</f>
        <v>0</v>
      </c>
      <c r="L65" s="31">
        <f>'[19]2018 - 2022'!T65+'[20]2018-2022'!T65</f>
        <v>0</v>
      </c>
      <c r="M65" s="31">
        <f>'[21]2018 - 2022'!U65+'[22]2018-2022'!U65</f>
        <v>0</v>
      </c>
      <c r="N65" s="31">
        <f>'[23]2018 - 2023'!V65+'[24]2018-2023'!V65</f>
        <v>0</v>
      </c>
      <c r="O65" s="31">
        <f>'[23]2018 - 2023'!W65+'[24]2018-2023'!W65</f>
        <v>0</v>
      </c>
      <c r="P65" s="31">
        <f>'[25]2018 - 2023'!X65+'[26]2018-2023'!X65</f>
        <v>0</v>
      </c>
      <c r="Q65" s="31">
        <f>'[27]2018 - 2023'!Y65+'[28]2018-2023'!Y65</f>
        <v>0</v>
      </c>
      <c r="R65" s="31">
        <f>'[29]2018 - 2023'!Z65+'[30]2018-2023'!Z65</f>
        <v>0</v>
      </c>
      <c r="S65" s="31">
        <f>'[31]2020 - 2024'!S65+'[32]2020-2024'!S65</f>
        <v>0</v>
      </c>
      <c r="T65" s="31">
        <f>'[33]2020 - 2024'!T65+'[34]2020-2024'!T65</f>
        <v>0</v>
      </c>
      <c r="U65" s="31">
        <f>'[35]2020 - 2024'!U65+'[36]2020-2024'!U65</f>
        <v>0</v>
      </c>
      <c r="V65" s="31">
        <f>'[37]2020 - 2024'!V65+'[38]2020-2024'!V65</f>
        <v>0</v>
      </c>
      <c r="W65" s="31">
        <f>'[39]2020 - 2025'!W65+'[40]2020-2025'!W65</f>
        <v>0</v>
      </c>
      <c r="X65" s="31">
        <f>'[41]2020 - 2025'!X65+'[42]2020-2025'!X65</f>
        <v>0</v>
      </c>
      <c r="Y65" s="31">
        <f>'[43]2020 - 2025'!Y65+'[44]2020-2025'!Y65</f>
        <v>0</v>
      </c>
      <c r="Z65" s="31">
        <f>'[45]2020 - 2025'!Z65+'[46]2020-2025'!Z65</f>
        <v>0</v>
      </c>
      <c r="AA65" s="31">
        <f>'[47]2020 - 2026'!AA65+'[48]2020-2026'!AA65</f>
        <v>0</v>
      </c>
    </row>
    <row r="66" spans="1:27" s="33" customFormat="1" ht="15" customHeight="1" x14ac:dyDescent="0.15">
      <c r="A66" s="1"/>
      <c r="B66" s="30" t="s">
        <v>52</v>
      </c>
      <c r="C66" s="31">
        <f>'[1]2015 - 2019'!S66+'[2]2015-2019'!S66</f>
        <v>21</v>
      </c>
      <c r="D66" s="31">
        <f>'[3]2015 - 2019'!T66+'[4]2015-2019'!T66</f>
        <v>4</v>
      </c>
      <c r="E66" s="31">
        <f>'[5]2015 - 2019'!U66+'[6]2015-2019'!U66</f>
        <v>0</v>
      </c>
      <c r="F66" s="31">
        <f>'[7]2015 - 2019'!V66+'[8]2015-2019'!V66</f>
        <v>31.411000000000001</v>
      </c>
      <c r="G66" s="31">
        <f>'[9]2015 - 2019'!W66+'[10]2016-2021'!W66</f>
        <v>0.78017999999999998</v>
      </c>
      <c r="H66" s="31">
        <f>'[11]2016 - 2021'!X66+'[12]2016-2021'!X66</f>
        <v>0.75631000000000004</v>
      </c>
      <c r="I66" s="31">
        <f>'[13]2016 - 2021'!Y66+'[14]2016-2021'!Y66</f>
        <v>0.75988</v>
      </c>
      <c r="J66" s="31">
        <f>'[15]2016 - 2021'!Z66+'[16]2016-2021'!Z66</f>
        <v>0.77227000000000001</v>
      </c>
      <c r="K66" s="31">
        <f>'[17]2018 - 2022'!S66+'[18]2018-2022'!S66</f>
        <v>0.85104999999999997</v>
      </c>
      <c r="L66" s="31">
        <f>'[19]2018 - 2022'!T66+'[20]2018-2022'!T66</f>
        <v>42.725929999999998</v>
      </c>
      <c r="M66" s="31">
        <f>'[21]2018 - 2022'!U66+'[22]2018-2022'!U66</f>
        <v>0.89607999999999999</v>
      </c>
      <c r="N66" s="31">
        <f>'[23]2018 - 2023'!V66+'[24]2018-2023'!V66</f>
        <v>2.08067</v>
      </c>
      <c r="O66" s="31">
        <f>'[23]2018 - 2023'!W66+'[24]2018-2023'!W66</f>
        <v>15.04604</v>
      </c>
      <c r="P66" s="31">
        <f>'[25]2018 - 2023'!X66+'[26]2018-2023'!X66</f>
        <v>20.89508</v>
      </c>
      <c r="Q66" s="31">
        <f>'[27]2018 - 2023'!Y66+'[28]2018-2023'!Y66</f>
        <v>80.067160000000001</v>
      </c>
      <c r="R66" s="31">
        <f>'[29]2018 - 2023'!Z66+'[30]2018-2023'!Z66</f>
        <v>273.07211000000001</v>
      </c>
      <c r="S66" s="31">
        <f>'[31]2020 - 2024'!S66+'[32]2020-2024'!S66</f>
        <v>7.7542799999999996</v>
      </c>
      <c r="T66" s="31">
        <f>'[33]2020 - 2024'!T66+'[34]2020-2024'!T66</f>
        <v>25.549479999999999</v>
      </c>
      <c r="U66" s="31">
        <f>'[35]2020 - 2024'!U66+'[36]2020-2024'!U66</f>
        <v>33.986440000000002</v>
      </c>
      <c r="V66" s="31">
        <f>'[37]2020 - 2024'!V66+'[38]2020-2024'!V66</f>
        <v>558.26180999999997</v>
      </c>
      <c r="W66" s="31">
        <f>'[39]2020 - 2025'!W66+'[40]2020-2025'!W66</f>
        <v>1865.13221</v>
      </c>
      <c r="X66" s="31">
        <f>'[41]2020 - 2025'!X66+'[42]2020-2025'!X66</f>
        <v>33.165550000000003</v>
      </c>
      <c r="Y66" s="31">
        <f>'[43]2020 - 2025'!Y66+'[44]2020-2025'!Y66</f>
        <v>8.4507600000000007</v>
      </c>
      <c r="Z66" s="31">
        <f>'[45]2020 - 2025'!Z66+'[46]2020-2025'!Z66</f>
        <v>32.397799999999997</v>
      </c>
      <c r="AA66" s="31">
        <f>'[47]2020 - 2026'!AA66+'[48]2020-2026'!AA66</f>
        <v>636.36247000000003</v>
      </c>
    </row>
    <row r="67" spans="1:27" s="33" customFormat="1" ht="15" customHeight="1" x14ac:dyDescent="0.15">
      <c r="A67" s="1"/>
      <c r="B67" s="30" t="s">
        <v>53</v>
      </c>
      <c r="C67" s="31">
        <f>'[1]2015 - 2019'!S67+'[2]2015-2019'!S67</f>
        <v>0</v>
      </c>
      <c r="D67" s="31">
        <f>'[3]2015 - 2019'!T67+'[4]2015-2019'!T67</f>
        <v>0</v>
      </c>
      <c r="E67" s="31">
        <f>'[5]2015 - 2019'!U67+'[6]2015-2019'!U67</f>
        <v>47473</v>
      </c>
      <c r="F67" s="31">
        <f>'[7]2015 - 2019'!V67+'[8]2015-2019'!V67</f>
        <v>0</v>
      </c>
      <c r="G67" s="31">
        <f>'[9]2015 - 2019'!W67+'[10]2016-2021'!W67</f>
        <v>0</v>
      </c>
      <c r="H67" s="31">
        <f>'[11]2016 - 2021'!X67+'[12]2016-2021'!X67</f>
        <v>0</v>
      </c>
      <c r="I67" s="31">
        <f>'[13]2016 - 2021'!Y67+'[14]2016-2021'!Y67</f>
        <v>0</v>
      </c>
      <c r="J67" s="31">
        <f>'[15]2016 - 2021'!Z67+'[16]2016-2021'!Z67</f>
        <v>0</v>
      </c>
      <c r="K67" s="31">
        <f>'[17]2018 - 2022'!S67+'[18]2018-2022'!S67</f>
        <v>0</v>
      </c>
      <c r="L67" s="31">
        <f>'[19]2018 - 2022'!T67+'[20]2018-2022'!T67</f>
        <v>0</v>
      </c>
      <c r="M67" s="31">
        <f>'[21]2018 - 2022'!U67+'[22]2018-2022'!U67</f>
        <v>0</v>
      </c>
      <c r="N67" s="31">
        <f>'[23]2018 - 2023'!V67+'[24]2018-2023'!V67</f>
        <v>0</v>
      </c>
      <c r="O67" s="31">
        <f>'[23]2018 - 2023'!W67+'[24]2018-2023'!W67</f>
        <v>0</v>
      </c>
      <c r="P67" s="31">
        <f>'[25]2018 - 2023'!X67+'[26]2018-2023'!X67</f>
        <v>30.88</v>
      </c>
      <c r="Q67" s="31">
        <f>'[27]2018 - 2023'!Y67+'[28]2018-2023'!Y67</f>
        <v>2.5979999999999999</v>
      </c>
      <c r="R67" s="31">
        <f>'[29]2018 - 2023'!Z67+'[30]2018-2023'!Z67</f>
        <v>1.796</v>
      </c>
      <c r="S67" s="31">
        <f>'[31]2020 - 2024'!S67+'[32]2020-2024'!S67</f>
        <v>0</v>
      </c>
      <c r="T67" s="31">
        <f>'[33]2020 - 2024'!T67+'[34]2020-2024'!T67</f>
        <v>0</v>
      </c>
      <c r="U67" s="31">
        <f>'[35]2020 - 2024'!U67+'[36]2020-2024'!U67</f>
        <v>0</v>
      </c>
      <c r="V67" s="31">
        <f>'[37]2020 - 2024'!V67+'[38]2020-2024'!V67</f>
        <v>0</v>
      </c>
      <c r="W67" s="31">
        <f>'[39]2020 - 2025'!W67+'[40]2020-2025'!W67</f>
        <v>0</v>
      </c>
      <c r="X67" s="31">
        <f>'[41]2020 - 2025'!X67+'[42]2020-2025'!X67</f>
        <v>29.216999999999999</v>
      </c>
      <c r="Y67" s="31">
        <f>'[43]2020 - 2025'!Y67+'[44]2020-2025'!Y67</f>
        <v>405.03199999999998</v>
      </c>
      <c r="Z67" s="31">
        <f>'[45]2020 - 2025'!Z67+'[46]2020-2025'!Z67</f>
        <v>551.91899999999998</v>
      </c>
      <c r="AA67" s="31">
        <f>'[47]2020 - 2026'!AA67+'[48]2020-2026'!AA67</f>
        <v>0</v>
      </c>
    </row>
    <row r="68" spans="1:27" s="33" customFormat="1" ht="15" customHeight="1" x14ac:dyDescent="0.15">
      <c r="A68" s="1"/>
      <c r="B68" s="18" t="s">
        <v>83</v>
      </c>
      <c r="C68" s="11">
        <f t="shared" ref="C68:E68" si="129">+C69+C70+C71+C72+C73</f>
        <v>737857</v>
      </c>
      <c r="D68" s="11">
        <f t="shared" si="129"/>
        <v>674999</v>
      </c>
      <c r="E68" s="11">
        <f t="shared" si="129"/>
        <v>606395</v>
      </c>
      <c r="F68" s="11">
        <f t="shared" ref="F68:G68" si="130">+F69+F70+F71+F72+F73</f>
        <v>358676.86499999999</v>
      </c>
      <c r="G68" s="11">
        <f t="shared" si="130"/>
        <v>277797.09977999999</v>
      </c>
      <c r="H68" s="11">
        <f t="shared" ref="H68:I68" si="131">+H69+H70+H71+H72+H73</f>
        <v>611391.02606000018</v>
      </c>
      <c r="I68" s="11">
        <f t="shared" si="131"/>
        <v>508296.74930000002</v>
      </c>
      <c r="J68" s="11">
        <f t="shared" ref="J68:K68" si="132">+J69+J70+J71+J72+J73</f>
        <v>840656.86568999989</v>
      </c>
      <c r="K68" s="11">
        <f t="shared" si="132"/>
        <v>619845.8433399999</v>
      </c>
      <c r="L68" s="11">
        <f t="shared" ref="L68:M68" si="133">+L69+L70+L71+L72+L73</f>
        <v>1035812.2217699999</v>
      </c>
      <c r="M68" s="11">
        <f t="shared" si="133"/>
        <v>890706.28555000003</v>
      </c>
      <c r="N68" s="11">
        <f t="shared" ref="N68:O68" si="134">+N69+N70+N71+N72+N73</f>
        <v>974020.62802000006</v>
      </c>
      <c r="O68" s="11">
        <f t="shared" si="134"/>
        <v>668611.19040000008</v>
      </c>
      <c r="P68" s="11">
        <f t="shared" ref="P68:Q68" si="135">+P69+P70+P71+P72+P73</f>
        <v>759952.15660999995</v>
      </c>
      <c r="Q68" s="11">
        <f t="shared" si="135"/>
        <v>595444.30272000004</v>
      </c>
      <c r="R68" s="11">
        <f t="shared" ref="R68:S68" si="136">+R69+R70+R71+R72+R73</f>
        <v>916719.38232000009</v>
      </c>
      <c r="S68" s="11">
        <f t="shared" si="136"/>
        <v>573224.69588000001</v>
      </c>
      <c r="T68" s="11">
        <f t="shared" ref="T68:U68" si="137">+T69+T70+T71+T72+T73</f>
        <v>744305.17672999995</v>
      </c>
      <c r="U68" s="11">
        <f t="shared" si="137"/>
        <v>516529.68297999998</v>
      </c>
      <c r="V68" s="11">
        <f t="shared" ref="V68" si="138">+V69+V70+V71+V72+V73</f>
        <v>810001.97453000001</v>
      </c>
      <c r="W68" s="11">
        <f>'[39]2020 - 2025'!W68+'[40]2020-2025'!W68</f>
        <v>751074.21123000002</v>
      </c>
      <c r="X68" s="11">
        <f>'[41]2020 - 2025'!X68+'[42]2020-2025'!X68</f>
        <v>822056.08785999997</v>
      </c>
      <c r="Y68" s="11">
        <f>'[43]2020 - 2025'!Y68+'[44]2020-2025'!Y68</f>
        <v>796871.00332999998</v>
      </c>
      <c r="Z68" s="11">
        <f>'[45]2020 - 2025'!Z68+'[46]2020-2025'!Z68</f>
        <v>1259263.0169499998</v>
      </c>
      <c r="AA68" s="11">
        <f>'[47]2020 - 2026'!AA68+'[48]2020-2026'!AA68</f>
        <v>1038927.01301</v>
      </c>
    </row>
    <row r="69" spans="1:27" s="37" customFormat="1" ht="15" customHeight="1" x14ac:dyDescent="0.15">
      <c r="A69" s="29"/>
      <c r="B69" s="30" t="s">
        <v>54</v>
      </c>
      <c r="C69" s="31">
        <f>'[1]2015 - 2019'!S69+'[2]2015-2019'!S69</f>
        <v>3197</v>
      </c>
      <c r="D69" s="31">
        <f>'[3]2015 - 2019'!T69+'[4]2015-2019'!T69</f>
        <v>3303</v>
      </c>
      <c r="E69" s="31">
        <f>'[5]2015 - 2019'!U69+'[6]2015-2019'!U69</f>
        <v>3116</v>
      </c>
      <c r="F69" s="31">
        <f>'[7]2015 - 2019'!V69+'[8]2015-2019'!V69</f>
        <v>3050.97</v>
      </c>
      <c r="G69" s="31">
        <f>'[9]2015 - 2019'!W69+'[10]2016-2021'!W69</f>
        <v>2978.61796</v>
      </c>
      <c r="H69" s="31">
        <f>'[11]2016 - 2021'!X69+'[12]2016-2021'!X69</f>
        <v>2916.66336</v>
      </c>
      <c r="I69" s="31">
        <f>'[13]2016 - 2021'!Y69+'[14]2016-2021'!Y69</f>
        <v>4530.1396000000004</v>
      </c>
      <c r="J69" s="31">
        <f>'[15]2016 - 2021'!Z69+'[16]2016-2021'!Z69</f>
        <v>4435.3787300000004</v>
      </c>
      <c r="K69" s="31">
        <f>'[17]2018 - 2022'!S69+'[18]2018-2022'!S69</f>
        <v>4351.8720999999996</v>
      </c>
      <c r="L69" s="31">
        <f>'[19]2018 - 2022'!T69+'[20]2018-2022'!T69</f>
        <v>4268.1472899999999</v>
      </c>
      <c r="M69" s="31">
        <f>'[21]2018 - 2022'!U69+'[22]2018-2022'!U69</f>
        <v>4187.5491400000001</v>
      </c>
      <c r="N69" s="31">
        <f>'[23]2018 - 2023'!V69+'[24]2018-2023'!V69</f>
        <v>4146.7897199999998</v>
      </c>
      <c r="O69" s="31">
        <f>'[23]2018 - 2023'!W69+'[24]2018-2023'!W69</f>
        <v>4086.0783200000001</v>
      </c>
      <c r="P69" s="31">
        <f>'[25]2018 - 2023'!X69+'[26]2018-2023'!X69</f>
        <v>2420.0156999999999</v>
      </c>
      <c r="Q69" s="31">
        <f>'[27]2018 - 2023'!Y69+'[28]2018-2023'!Y69</f>
        <v>2365.3164200000001</v>
      </c>
      <c r="R69" s="31">
        <f>'[29]2018 - 2023'!Z69+'[30]2018-2023'!Z69</f>
        <v>2313.3571200000001</v>
      </c>
      <c r="S69" s="31">
        <f>'[31]2020 - 2024'!S69+'[32]2020-2024'!S69</f>
        <v>2253.0375100000001</v>
      </c>
      <c r="T69" s="31">
        <f>'[33]2020 - 2024'!T69+'[34]2020-2024'!T69</f>
        <v>2187.7689500000001</v>
      </c>
      <c r="U69" s="31">
        <f>'[35]2020 - 2024'!U69+'[36]2020-2024'!U69</f>
        <v>1373.64157</v>
      </c>
      <c r="V69" s="31">
        <f>'[37]2020 - 2024'!V69+'[38]2020-2024'!V69</f>
        <v>1086.1953100000001</v>
      </c>
      <c r="W69" s="31">
        <f>'[39]2020 - 2025'!W69+'[40]2020-2025'!W69</f>
        <v>1043.5731499999999</v>
      </c>
      <c r="X69" s="31">
        <f>'[41]2020 - 2025'!X69+'[42]2020-2025'!X69</f>
        <v>991.45317</v>
      </c>
      <c r="Y69" s="31">
        <f>'[43]2020 - 2025'!Y69+'[44]2020-2025'!Y69</f>
        <v>951.77133000000003</v>
      </c>
      <c r="Z69" s="31">
        <f>'[45]2020 - 2025'!Z69+'[46]2020-2025'!Z69</f>
        <v>911.49251000000004</v>
      </c>
      <c r="AA69" s="31">
        <f>'[47]2020 - 2026'!AA69+'[48]2020-2026'!AA69</f>
        <v>891.40625</v>
      </c>
    </row>
    <row r="70" spans="1:27" s="37" customFormat="1" ht="15" customHeight="1" x14ac:dyDescent="0.15">
      <c r="A70" s="29"/>
      <c r="B70" s="30" t="s">
        <v>55</v>
      </c>
      <c r="C70" s="31">
        <f>'[1]2015 - 2019'!S70+'[2]2015-2019'!S70</f>
        <v>3993</v>
      </c>
      <c r="D70" s="31">
        <f>'[3]2015 - 2019'!T70+'[4]2015-2019'!T70</f>
        <v>3893</v>
      </c>
      <c r="E70" s="31">
        <f>'[5]2015 - 2019'!U70+'[6]2015-2019'!U70</f>
        <v>2730</v>
      </c>
      <c r="F70" s="31">
        <f>'[7]2015 - 2019'!V70+'[8]2015-2019'!V70</f>
        <v>1861.653</v>
      </c>
      <c r="G70" s="31">
        <f>'[9]2015 - 2019'!W70+'[10]2016-2021'!W70</f>
        <v>1873.1690000000001</v>
      </c>
      <c r="H70" s="31">
        <f>'[11]2016 - 2021'!X70+'[12]2016-2021'!X70</f>
        <v>1668.1379999999999</v>
      </c>
      <c r="I70" s="31">
        <f>'[13]2016 - 2021'!Y70+'[14]2016-2021'!Y70</f>
        <v>1633.9359999999999</v>
      </c>
      <c r="J70" s="31">
        <f>'[15]2016 - 2021'!Z70+'[16]2016-2021'!Z70</f>
        <v>0</v>
      </c>
      <c r="K70" s="31">
        <f>'[17]2018 - 2022'!S70+'[18]2018-2022'!S70</f>
        <v>0</v>
      </c>
      <c r="L70" s="31">
        <f>'[19]2018 - 2022'!T70+'[20]2018-2022'!T70</f>
        <v>0</v>
      </c>
      <c r="M70" s="31">
        <f>'[21]2018 - 2022'!U70+'[22]2018-2022'!U70</f>
        <v>0</v>
      </c>
      <c r="N70" s="31">
        <f>'[23]2018 - 2023'!V70+'[24]2018-2023'!V70</f>
        <v>10.08771</v>
      </c>
      <c r="O70" s="31">
        <f>'[23]2018 - 2023'!W70+'[24]2018-2023'!W70</f>
        <v>1.7481199999999999</v>
      </c>
      <c r="P70" s="31">
        <f>'[25]2018 - 2023'!X70+'[26]2018-2023'!X70</f>
        <v>1.0572299999999999</v>
      </c>
      <c r="Q70" s="31">
        <f>'[27]2018 - 2023'!Y70+'[28]2018-2023'!Y70</f>
        <v>0.46992</v>
      </c>
      <c r="R70" s="31">
        <f>'[29]2018 - 2023'!Z70+'[30]2018-2023'!Z70</f>
        <v>5.6466399999999997</v>
      </c>
      <c r="S70" s="31">
        <f>'[31]2020 - 2024'!S70+'[32]2020-2024'!S70</f>
        <v>3.1697299999999999</v>
      </c>
      <c r="T70" s="31">
        <f>'[33]2020 - 2024'!T70+'[34]2020-2024'!T70</f>
        <v>6.3348399999999998</v>
      </c>
      <c r="U70" s="31">
        <f>'[35]2020 - 2024'!U70+'[36]2020-2024'!U70</f>
        <v>8.3025000000000002</v>
      </c>
      <c r="V70" s="31">
        <f>'[37]2020 - 2024'!V70+'[38]2020-2024'!V70</f>
        <v>4.6972699999999996</v>
      </c>
      <c r="W70" s="31">
        <f>'[39]2020 - 2025'!W70+'[40]2020-2025'!W70</f>
        <v>0</v>
      </c>
      <c r="X70" s="31">
        <f>'[41]2020 - 2025'!X70+'[42]2020-2025'!X70</f>
        <v>-6.9919999999999996E-2</v>
      </c>
      <c r="Y70" s="31">
        <f>'[43]2020 - 2025'!Y70+'[44]2020-2025'!Y70</f>
        <v>0.54215999999999998</v>
      </c>
      <c r="Z70" s="31">
        <f>'[45]2020 - 2025'!Z70+'[46]2020-2025'!Z70</f>
        <v>0.62058000000000002</v>
      </c>
      <c r="AA70" s="31">
        <f>'[47]2020 - 2026'!AA70+'[48]2020-2026'!AA70</f>
        <v>5.4752099999999997</v>
      </c>
    </row>
    <row r="71" spans="1:27" s="37" customFormat="1" ht="15" customHeight="1" x14ac:dyDescent="0.15">
      <c r="A71" s="29"/>
      <c r="B71" s="30" t="s">
        <v>56</v>
      </c>
      <c r="C71" s="31">
        <f>'[1]2015 - 2019'!S71+'[2]2015-2019'!S71</f>
        <v>0</v>
      </c>
      <c r="D71" s="31">
        <f>'[3]2015 - 2019'!T71+'[4]2015-2019'!T71</f>
        <v>32</v>
      </c>
      <c r="E71" s="31">
        <f>'[5]2015 - 2019'!U71+'[6]2015-2019'!U71</f>
        <v>0</v>
      </c>
      <c r="F71" s="31">
        <f>'[7]2015 - 2019'!V71+'[8]2015-2019'!V71</f>
        <v>8.5000000000000006E-2</v>
      </c>
      <c r="G71" s="31">
        <f>'[9]2015 - 2019'!W71+'[10]2016-2021'!W71</f>
        <v>0</v>
      </c>
      <c r="H71" s="31">
        <f>'[11]2016 - 2021'!X71+'[12]2016-2021'!X71</f>
        <v>0</v>
      </c>
      <c r="I71" s="31">
        <f>'[13]2016 - 2021'!Y71+'[14]2016-2021'!Y71</f>
        <v>0</v>
      </c>
      <c r="J71" s="31">
        <f>'[15]2016 - 2021'!Z71+'[16]2016-2021'!Z71</f>
        <v>2.358E-2</v>
      </c>
      <c r="K71" s="31">
        <f>'[17]2018 - 2022'!S71+'[18]2018-2022'!S71</f>
        <v>2.358E-2</v>
      </c>
      <c r="L71" s="31">
        <f>'[19]2018 - 2022'!T71+'[20]2018-2022'!T71</f>
        <v>0</v>
      </c>
      <c r="M71" s="31">
        <f>'[21]2018 - 2022'!U71+'[22]2018-2022'!U71</f>
        <v>0</v>
      </c>
      <c r="N71" s="31">
        <f>'[23]2018 - 2023'!V71+'[24]2018-2023'!V71</f>
        <v>0.99885999999999997</v>
      </c>
      <c r="O71" s="31">
        <f>'[23]2018 - 2023'!W71+'[24]2018-2023'!W71</f>
        <v>2.4862199999999999</v>
      </c>
      <c r="P71" s="31">
        <f>'[25]2018 - 2023'!X71+'[26]2018-2023'!X71</f>
        <v>39.042160000000003</v>
      </c>
      <c r="Q71" s="31">
        <f>'[27]2018 - 2023'!Y71+'[28]2018-2023'!Y71</f>
        <v>2.2873199999999998</v>
      </c>
      <c r="R71" s="31">
        <f>'[29]2018 - 2023'!Z71+'[30]2018-2023'!Z71</f>
        <v>3.3016200000000002</v>
      </c>
      <c r="S71" s="31">
        <f>'[31]2020 - 2024'!S71+'[32]2020-2024'!S71</f>
        <v>1.05332</v>
      </c>
      <c r="T71" s="31">
        <f>'[33]2020 - 2024'!T71+'[34]2020-2024'!T71</f>
        <v>9.7849199999999996</v>
      </c>
      <c r="U71" s="31">
        <f>'[35]2020 - 2024'!U71+'[36]2020-2024'!U71</f>
        <v>6.0754299999999999</v>
      </c>
      <c r="V71" s="31">
        <f>'[37]2020 - 2024'!V71+'[38]2020-2024'!V71</f>
        <v>9.8295999999999992</v>
      </c>
      <c r="W71" s="31">
        <f>'[39]2020 - 2025'!W71+'[40]2020-2025'!W71</f>
        <v>9.1077300000000001</v>
      </c>
      <c r="X71" s="31">
        <f>'[41]2020 - 2025'!X71+'[42]2020-2025'!X71</f>
        <v>209.04232999999999</v>
      </c>
      <c r="Y71" s="31">
        <f>'[43]2020 - 2025'!Y71+'[44]2020-2025'!Y71</f>
        <v>0.65237999999999996</v>
      </c>
      <c r="Z71" s="31">
        <f>'[45]2020 - 2025'!Z71+'[46]2020-2025'!Z71</f>
        <v>0.88527999999999996</v>
      </c>
      <c r="AA71" s="31">
        <f>'[47]2020 - 2026'!AA71+'[48]2020-2026'!AA71</f>
        <v>8.0000000000000004E-4</v>
      </c>
    </row>
    <row r="72" spans="1:27" s="37" customFormat="1" ht="15" customHeight="1" x14ac:dyDescent="0.15">
      <c r="A72" s="29"/>
      <c r="B72" s="38" t="s">
        <v>57</v>
      </c>
      <c r="C72" s="31">
        <f>'[1]2015 - 2019'!S72+'[2]2015-2019'!S72</f>
        <v>729483</v>
      </c>
      <c r="D72" s="31">
        <f>'[3]2015 - 2019'!T72+'[4]2015-2019'!T72</f>
        <v>666211</v>
      </c>
      <c r="E72" s="31">
        <f>'[5]2015 - 2019'!U72+'[6]2015-2019'!U72</f>
        <v>598407</v>
      </c>
      <c r="F72" s="31">
        <f>'[7]2015 - 2019'!V72+'[8]2015-2019'!V72</f>
        <v>351434.45500000002</v>
      </c>
      <c r="G72" s="31">
        <f>'[9]2015 - 2019'!W72+'[10]2016-2021'!W72</f>
        <v>269807.36154999997</v>
      </c>
      <c r="H72" s="31">
        <f>'[11]2016 - 2021'!X72+'[12]2016-2021'!X72</f>
        <v>603427.90594000008</v>
      </c>
      <c r="I72" s="31">
        <f>'[13]2016 - 2021'!Y72+'[14]2016-2021'!Y72</f>
        <v>498694.33331000002</v>
      </c>
      <c r="J72" s="31">
        <f>'[15]2016 - 2021'!Z72+'[16]2016-2021'!Z72</f>
        <v>832572.0848699999</v>
      </c>
      <c r="K72" s="31">
        <f>'[17]2018 - 2022'!S72+'[18]2018-2022'!S72</f>
        <v>611844.21534</v>
      </c>
      <c r="L72" s="31">
        <f>'[19]2018 - 2022'!T72+'[20]2018-2022'!T72</f>
        <v>1027891.6885599999</v>
      </c>
      <c r="M72" s="31">
        <f>'[21]2018 - 2022'!U72+'[22]2018-2022'!U72</f>
        <v>882862.25639</v>
      </c>
      <c r="N72" s="31">
        <f>'[23]2018 - 2023'!V72+'[24]2018-2023'!V72</f>
        <v>966200.81293000001</v>
      </c>
      <c r="O72" s="31">
        <f>'[23]2018 - 2023'!W72+'[24]2018-2023'!W72</f>
        <v>664509.37042000005</v>
      </c>
      <c r="P72" s="31">
        <f>'[25]2018 - 2023'!X72+'[26]2018-2023'!X72</f>
        <v>757492.04151999997</v>
      </c>
      <c r="Q72" s="31">
        <f>'[27]2018 - 2023'!Y72+'[28]2018-2023'!Y72</f>
        <v>593076.22906000004</v>
      </c>
      <c r="R72" s="31">
        <f>'[29]2018 - 2023'!Z72+'[30]2018-2023'!Z72</f>
        <v>914397.07694000006</v>
      </c>
      <c r="S72" s="31">
        <f>'[31]2020 - 2024'!S72+'[32]2020-2024'!S72</f>
        <v>570967.43532000005</v>
      </c>
      <c r="T72" s="31">
        <f>'[33]2020 - 2024'!T72+'[34]2020-2024'!T72</f>
        <v>741595.66902000003</v>
      </c>
      <c r="U72" s="31">
        <f>'[35]2020 - 2024'!U72+'[36]2020-2024'!U72</f>
        <v>515141.66347999999</v>
      </c>
      <c r="V72" s="31">
        <f>'[37]2020 - 2024'!V72+'[38]2020-2024'!V72</f>
        <v>808901.25234999997</v>
      </c>
      <c r="W72" s="31">
        <f>'[39]2020 - 2025'!W72+'[40]2020-2025'!W72</f>
        <v>750021.53035000002</v>
      </c>
      <c r="X72" s="31">
        <f>'[41]2020 - 2025'!X72+'[42]2020-2025'!X72</f>
        <v>820855.66228000005</v>
      </c>
      <c r="Y72" s="31">
        <f>'[43]2020 - 2025'!Y72+'[44]2020-2025'!Y72</f>
        <v>795918.0374599999</v>
      </c>
      <c r="Z72" s="31">
        <f>'[45]2020 - 2025'!Z72+'[46]2020-2025'!Z72</f>
        <v>1258350.0185799999</v>
      </c>
      <c r="AA72" s="31">
        <f>'[47]2020 - 2026'!AA72+'[48]2020-2026'!AA72</f>
        <v>1038030.13075</v>
      </c>
    </row>
    <row r="73" spans="1:27" s="37" customFormat="1" ht="15" customHeight="1" x14ac:dyDescent="0.15">
      <c r="A73" s="29"/>
      <c r="B73" s="30" t="s">
        <v>97</v>
      </c>
      <c r="C73" s="31">
        <f>'[1]2015 - 2019'!S73+'[2]2015-2019'!S73</f>
        <v>1184</v>
      </c>
      <c r="D73" s="31">
        <f>'[3]2015 - 2019'!T73+'[4]2015-2019'!T73</f>
        <v>1560</v>
      </c>
      <c r="E73" s="31">
        <f>'[5]2015 - 2019'!U73+'[6]2015-2019'!U73</f>
        <v>2142</v>
      </c>
      <c r="F73" s="31">
        <f>'[7]2015 - 2019'!V73+'[8]2015-2019'!V73</f>
        <v>2329.7020000000002</v>
      </c>
      <c r="G73" s="31">
        <f>'[9]2015 - 2019'!W73+'[10]2016-2021'!W73</f>
        <v>3137.95127</v>
      </c>
      <c r="H73" s="31">
        <f>'[11]2016 - 2021'!X73+'[12]2016-2021'!X73</f>
        <v>3378.3187600000001</v>
      </c>
      <c r="I73" s="31">
        <f>'[13]2016 - 2021'!Y73+'[14]2016-2021'!Y73</f>
        <v>3438.3403899999998</v>
      </c>
      <c r="J73" s="31">
        <f>'[15]2016 - 2021'!Z73+'[16]2016-2021'!Z73</f>
        <v>3649.37851</v>
      </c>
      <c r="K73" s="31">
        <f>'[17]2018 - 2022'!S73+'[18]2018-2022'!S73</f>
        <v>3649.7323200000001</v>
      </c>
      <c r="L73" s="31">
        <f>'[19]2018 - 2022'!T73+'[20]2018-2022'!T73</f>
        <v>3652.3859200000002</v>
      </c>
      <c r="M73" s="31">
        <f>'[21]2018 - 2022'!U73+'[22]2018-2022'!U73</f>
        <v>3656.48002</v>
      </c>
      <c r="N73" s="31">
        <f>'[23]2018 - 2023'!V73+'[24]2018-2023'!V73</f>
        <v>3661.9387999999999</v>
      </c>
      <c r="O73" s="31">
        <f>'[23]2018 - 2023'!W73+'[24]2018-2023'!W73</f>
        <v>11.50732</v>
      </c>
      <c r="P73" s="31">
        <f>'[25]2018 - 2023'!X73+'[26]2018-2023'!X73</f>
        <v>0</v>
      </c>
      <c r="Q73" s="31">
        <f>'[27]2018 - 2023'!Y73+'[28]2018-2023'!Y73</f>
        <v>0</v>
      </c>
      <c r="R73" s="31">
        <f>'[29]2018 - 2023'!Z73+'[30]2018-2023'!Z73</f>
        <v>0</v>
      </c>
      <c r="S73" s="31">
        <f>'[31]2020 - 2024'!S73+'[32]2020-2024'!S73</f>
        <v>0</v>
      </c>
      <c r="T73" s="31">
        <f>'[33]2020 - 2024'!T73+'[34]2020-2024'!T73</f>
        <v>505.61900000000003</v>
      </c>
      <c r="U73" s="31">
        <f>'[35]2020 - 2024'!U73+'[36]2020-2024'!U73</f>
        <v>0</v>
      </c>
      <c r="V73" s="31">
        <f>'[37]2020 - 2024'!V73+'[38]2020-2024'!V73</f>
        <v>0</v>
      </c>
      <c r="W73" s="31">
        <f>'[39]2020 - 2025'!W73+'[40]2020-2025'!W73</f>
        <v>0</v>
      </c>
      <c r="X73" s="31">
        <f>'[41]2020 - 2025'!X73+'[42]2020-2025'!X73</f>
        <v>0</v>
      </c>
      <c r="Y73" s="31">
        <f>'[43]2020 - 2025'!Y73+'[44]2020-2025'!Y73</f>
        <v>0</v>
      </c>
      <c r="Z73" s="31">
        <f>'[45]2020 - 2025'!Z73+'[46]2020-2025'!Z73</f>
        <v>0</v>
      </c>
      <c r="AA73" s="31">
        <f>'[47]2020 - 2026'!AA73+'[48]2020-2026'!AA73</f>
        <v>0</v>
      </c>
    </row>
    <row r="74" spans="1:27" ht="15" customHeight="1" x14ac:dyDescent="0.15">
      <c r="B74" s="20" t="s">
        <v>4</v>
      </c>
      <c r="C74" s="24">
        <f t="shared" ref="C74:E74" si="139">+C75+C76+C77+C78</f>
        <v>2479002</v>
      </c>
      <c r="D74" s="24">
        <f t="shared" si="139"/>
        <v>2483497</v>
      </c>
      <c r="E74" s="24">
        <f t="shared" si="139"/>
        <v>2514308</v>
      </c>
      <c r="F74" s="24">
        <f t="shared" ref="F74:G74" si="140">+F75+F76+F77+F78</f>
        <v>2592295.4919999996</v>
      </c>
      <c r="G74" s="24">
        <f t="shared" si="140"/>
        <v>2623247.5176000004</v>
      </c>
      <c r="H74" s="24">
        <f t="shared" ref="H74:I74" si="141">+H75+H76+H77+H78</f>
        <v>2669178.7730200002</v>
      </c>
      <c r="I74" s="24">
        <f t="shared" si="141"/>
        <v>2756165.1352900001</v>
      </c>
      <c r="J74" s="24">
        <f t="shared" ref="J74:K74" si="142">+J75+J76+J77+J78</f>
        <v>2769096.7691900004</v>
      </c>
      <c r="K74" s="24">
        <f t="shared" si="142"/>
        <v>2837247.4230800006</v>
      </c>
      <c r="L74" s="24">
        <f t="shared" ref="L74:M74" si="143">+L75+L76+L77+L78</f>
        <v>2886886.2827199996</v>
      </c>
      <c r="M74" s="24">
        <f t="shared" si="143"/>
        <v>2949087.6543899998</v>
      </c>
      <c r="N74" s="24">
        <f t="shared" ref="N74:O74" si="144">+N75+N76+N77+N78</f>
        <v>2960600.6087299995</v>
      </c>
      <c r="O74" s="24">
        <f t="shared" si="144"/>
        <v>2943453.6351000001</v>
      </c>
      <c r="P74" s="24">
        <f t="shared" ref="P74:Q74" si="145">+P75+P76+P77+P78</f>
        <v>2955679.2796700005</v>
      </c>
      <c r="Q74" s="24">
        <f t="shared" si="145"/>
        <v>2949773.24627</v>
      </c>
      <c r="R74" s="24">
        <f t="shared" ref="R74:S74" si="146">+R75+R76+R77+R78</f>
        <v>2964399.9094400001</v>
      </c>
      <c r="S74" s="24">
        <f t="shared" si="146"/>
        <v>2959340.5266899997</v>
      </c>
      <c r="T74" s="24">
        <f t="shared" ref="T74:U74" si="147">+T75+T76+T77+T78</f>
        <v>3016374.2285599997</v>
      </c>
      <c r="U74" s="24">
        <f t="shared" si="147"/>
        <v>3058077.1816700003</v>
      </c>
      <c r="V74" s="24">
        <f t="shared" ref="V74" si="148">+V75+V76+V77+V78</f>
        <v>3091964.4934899998</v>
      </c>
      <c r="W74" s="24">
        <f>'[39]2020 - 2025'!W74+'[40]2020-2025'!W74</f>
        <v>3125481.4303999995</v>
      </c>
      <c r="X74" s="24">
        <f>'[41]2020 - 2025'!X74+'[42]2020-2025'!X74</f>
        <v>3157493.24608</v>
      </c>
      <c r="Y74" s="24">
        <f>'[43]2020 - 2025'!Y74+'[44]2020-2025'!Y74</f>
        <v>3196671.60739</v>
      </c>
      <c r="Z74" s="24">
        <f>'[45]2020 - 2025'!Z74+'[46]2020-2025'!Z74</f>
        <v>3253806.11375</v>
      </c>
      <c r="AA74" s="24">
        <f>'[47]2020 - 2026'!AA74+'[48]2020-2026'!AA74</f>
        <v>3286231.7709300001</v>
      </c>
    </row>
    <row r="75" spans="1:27" ht="15" customHeight="1" x14ac:dyDescent="0.15">
      <c r="B75" s="30" t="s">
        <v>29</v>
      </c>
      <c r="C75" s="31">
        <f>'[1]2015 - 2019'!S75+'[2]2015-2019'!S75</f>
        <v>2143193</v>
      </c>
      <c r="D75" s="31">
        <f>'[3]2015 - 2019'!T75+'[4]2015-2019'!T75</f>
        <v>2169986</v>
      </c>
      <c r="E75" s="31">
        <f>'[5]2015 - 2019'!U75+'[6]2015-2019'!U75</f>
        <v>2195693</v>
      </c>
      <c r="F75" s="31">
        <f>'[7]2015 - 2019'!V75+'[8]2015-2019'!V75</f>
        <v>2265350.0389999999</v>
      </c>
      <c r="G75" s="31">
        <f>'[9]2015 - 2019'!W75+'[10]2016-2021'!W75</f>
        <v>2297295.3122899998</v>
      </c>
      <c r="H75" s="31">
        <f>'[11]2016 - 2021'!X75+'[12]2016-2021'!X75</f>
        <v>2350969.7376000001</v>
      </c>
      <c r="I75" s="31">
        <f>'[13]2016 - 2021'!Y75+'[14]2016-2021'!Y75</f>
        <v>2420346.3556400002</v>
      </c>
      <c r="J75" s="31">
        <f>'[15]2016 - 2021'!Z75+'[16]2016-2021'!Z75</f>
        <v>2439740.5734000001</v>
      </c>
      <c r="K75" s="31">
        <f>'[17]2018 - 2022'!S75+'[18]2018-2022'!S75</f>
        <v>2501390.23227</v>
      </c>
      <c r="L75" s="31">
        <f>'[19]2018 - 2022'!T75+'[20]2018-2022'!T75</f>
        <v>2551694.9478099998</v>
      </c>
      <c r="M75" s="31">
        <f>'[21]2018 - 2022'!U75+'[22]2018-2022'!U75</f>
        <v>2603379.0653300001</v>
      </c>
      <c r="N75" s="31">
        <f>'[23]2018 - 2023'!V75+'[24]2018-2023'!V75</f>
        <v>2617055.70518</v>
      </c>
      <c r="O75" s="31">
        <f>'[23]2018 - 2023'!W75+'[24]2018-2023'!W75</f>
        <v>2606043.31256</v>
      </c>
      <c r="P75" s="31">
        <f>'[25]2018 - 2023'!X75+'[26]2018-2023'!X75</f>
        <v>2611046.93768</v>
      </c>
      <c r="Q75" s="31">
        <f>'[27]2018 - 2023'!Y75+'[28]2018-2023'!Y75</f>
        <v>2599305.22053</v>
      </c>
      <c r="R75" s="31">
        <f>'[29]2018 - 2023'!Z75+'[30]2018-2023'!Z75</f>
        <v>2597566.6176499999</v>
      </c>
      <c r="S75" s="31">
        <f>'[31]2020 - 2024'!S75+'[32]2020-2024'!S75</f>
        <v>2600185.3907900001</v>
      </c>
      <c r="T75" s="31">
        <f>'[33]2020 - 2024'!T75+'[34]2020-2024'!T75</f>
        <v>2640690.5493299998</v>
      </c>
      <c r="U75" s="31">
        <f>'[35]2020 - 2024'!U75+'[36]2020-2024'!U75</f>
        <v>2675375.2872700002</v>
      </c>
      <c r="V75" s="31">
        <f>'[37]2020 - 2024'!V75+'[38]2020-2024'!V75</f>
        <v>2698543.6724399999</v>
      </c>
      <c r="W75" s="31">
        <f>'[39]2020 - 2025'!W75+'[40]2020-2025'!W75</f>
        <v>2722836.1429599999</v>
      </c>
      <c r="X75" s="31">
        <f>'[41]2020 - 2025'!X75+'[42]2020-2025'!X75</f>
        <v>2760467.2628799998</v>
      </c>
      <c r="Y75" s="31">
        <f>'[43]2020 - 2025'!Y75+'[44]2020-2025'!Y75</f>
        <v>2792440.7718000002</v>
      </c>
      <c r="Z75" s="31">
        <f>'[45]2020 - 2025'!Z75+'[46]2020-2025'!Z75</f>
        <v>2818780.8625099999</v>
      </c>
      <c r="AA75" s="31">
        <f>'[47]2020 - 2026'!AA75+'[48]2020-2026'!AA75</f>
        <v>2852818.2077000001</v>
      </c>
    </row>
    <row r="76" spans="1:27" ht="15" customHeight="1" x14ac:dyDescent="0.15">
      <c r="B76" s="30" t="s">
        <v>30</v>
      </c>
      <c r="C76" s="31">
        <f>'[1]2015 - 2019'!S76+'[2]2015-2019'!S76</f>
        <v>68685</v>
      </c>
      <c r="D76" s="31">
        <f>'[3]2015 - 2019'!T76+'[4]2015-2019'!T76</f>
        <v>69065</v>
      </c>
      <c r="E76" s="31">
        <f>'[5]2015 - 2019'!U76+'[6]2015-2019'!U76</f>
        <v>69252</v>
      </c>
      <c r="F76" s="31">
        <f>'[7]2015 - 2019'!V76+'[8]2015-2019'!V76</f>
        <v>70543.671000000002</v>
      </c>
      <c r="G76" s="31">
        <f>'[9]2015 - 2019'!W76+'[10]2016-2021'!W76</f>
        <v>69149.236690000005</v>
      </c>
      <c r="H76" s="31">
        <f>'[11]2016 - 2021'!X76+'[12]2016-2021'!X76</f>
        <v>68877.054220000005</v>
      </c>
      <c r="I76" s="31">
        <f>'[13]2016 - 2021'!Y76+'[14]2016-2021'!Y76</f>
        <v>71089.593070000003</v>
      </c>
      <c r="J76" s="31">
        <f>'[15]2016 - 2021'!Z76+'[16]2016-2021'!Z76</f>
        <v>70035.704530000003</v>
      </c>
      <c r="K76" s="31">
        <f>'[17]2018 - 2022'!S76+'[18]2018-2022'!S76</f>
        <v>70643.665940000006</v>
      </c>
      <c r="L76" s="31">
        <f>'[19]2018 - 2022'!T76+'[20]2018-2022'!T76</f>
        <v>70833.507859999998</v>
      </c>
      <c r="M76" s="31">
        <f>'[21]2018 - 2022'!U76+'[22]2018-2022'!U76</f>
        <v>67709.522140000001</v>
      </c>
      <c r="N76" s="31">
        <f>'[23]2018 - 2023'!V76+'[24]2018-2023'!V76</f>
        <v>67167.564129999999</v>
      </c>
      <c r="O76" s="31">
        <f>'[23]2018 - 2023'!W76+'[24]2018-2023'!W76</f>
        <v>65886.929669999998</v>
      </c>
      <c r="P76" s="31">
        <f>'[25]2018 - 2023'!X76+'[26]2018-2023'!X76</f>
        <v>65867.095920000007</v>
      </c>
      <c r="Q76" s="31">
        <f>'[27]2018 - 2023'!Y76+'[28]2018-2023'!Y76</f>
        <v>67329.609519999998</v>
      </c>
      <c r="R76" s="31">
        <f>'[29]2018 - 2023'!Z76+'[30]2018-2023'!Z76</f>
        <v>73170.029859999995</v>
      </c>
      <c r="S76" s="31">
        <f>'[31]2020 - 2024'!S76+'[32]2020-2024'!S76</f>
        <v>76290.059739999997</v>
      </c>
      <c r="T76" s="31">
        <f>'[33]2020 - 2024'!T76+'[34]2020-2024'!T76</f>
        <v>79894.836509999994</v>
      </c>
      <c r="U76" s="31">
        <f>'[35]2020 - 2024'!U76+'[36]2020-2024'!U76</f>
        <v>80742.480739999999</v>
      </c>
      <c r="V76" s="31">
        <f>'[37]2020 - 2024'!V76+'[38]2020-2024'!V76</f>
        <v>84466.014429999996</v>
      </c>
      <c r="W76" s="31">
        <f>'[39]2020 - 2025'!W76+'[40]2020-2025'!W76</f>
        <v>86174.423309999998</v>
      </c>
      <c r="X76" s="31">
        <f>'[41]2020 - 2025'!X76+'[42]2020-2025'!X76</f>
        <v>90318.13248</v>
      </c>
      <c r="Y76" s="31">
        <f>'[43]2020 - 2025'!Y76+'[44]2020-2025'!Y76</f>
        <v>92549.037779999999</v>
      </c>
      <c r="Z76" s="31">
        <f>'[45]2020 - 2025'!Z76+'[46]2020-2025'!Z76</f>
        <v>97827.169169999994</v>
      </c>
      <c r="AA76" s="31">
        <f>'[47]2020 - 2026'!AA76+'[48]2020-2026'!AA76</f>
        <v>100390.28546</v>
      </c>
    </row>
    <row r="77" spans="1:27" ht="15" customHeight="1" x14ac:dyDescent="0.15">
      <c r="B77" s="30" t="s">
        <v>31</v>
      </c>
      <c r="C77" s="31">
        <f>'[1]2015 - 2019'!S77+'[2]2015-2019'!S77</f>
        <v>5503</v>
      </c>
      <c r="D77" s="31">
        <f>'[3]2015 - 2019'!T77+'[4]2015-2019'!T77</f>
        <v>5283</v>
      </c>
      <c r="E77" s="31">
        <f>'[5]2015 - 2019'!U77+'[6]2015-2019'!U77</f>
        <v>5395</v>
      </c>
      <c r="F77" s="31">
        <f>'[7]2015 - 2019'!V77+'[8]2015-2019'!V77</f>
        <v>4998.317</v>
      </c>
      <c r="G77" s="31">
        <f>'[9]2015 - 2019'!W77+'[10]2016-2021'!W77</f>
        <v>4761.1808000000001</v>
      </c>
      <c r="H77" s="31">
        <f>'[11]2016 - 2021'!X77+'[12]2016-2021'!X77</f>
        <v>4519.9509600000001</v>
      </c>
      <c r="I77" s="31">
        <f>'[13]2016 - 2021'!Y77+'[14]2016-2021'!Y77</f>
        <v>4186.85743</v>
      </c>
      <c r="J77" s="31">
        <f>'[15]2016 - 2021'!Z77+'[16]2016-2021'!Z77</f>
        <v>3961.0201299999999</v>
      </c>
      <c r="K77" s="31">
        <f>'[17]2018 - 2022'!S77+'[18]2018-2022'!S77</f>
        <v>3819.4129400000002</v>
      </c>
      <c r="L77" s="31">
        <f>'[19]2018 - 2022'!T77+'[20]2018-2022'!T77</f>
        <v>3376.8621400000002</v>
      </c>
      <c r="M77" s="31">
        <f>'[21]2018 - 2022'!U77+'[22]2018-2022'!U77</f>
        <v>3710.3000699999998</v>
      </c>
      <c r="N77" s="31">
        <f>'[23]2018 - 2023'!V77+'[24]2018-2023'!V77</f>
        <v>3387.0640699999999</v>
      </c>
      <c r="O77" s="31">
        <f>'[23]2018 - 2023'!W77+'[24]2018-2023'!W77</f>
        <v>3144.3594600000001</v>
      </c>
      <c r="P77" s="31">
        <f>'[25]2018 - 2023'!X77+'[26]2018-2023'!X77</f>
        <v>3110.5535399999999</v>
      </c>
      <c r="Q77" s="31">
        <f>'[27]2018 - 2023'!Y77+'[28]2018-2023'!Y77</f>
        <v>3052.04081</v>
      </c>
      <c r="R77" s="31">
        <f>'[29]2018 - 2023'!Z77+'[30]2018-2023'!Z77</f>
        <v>3217.1513100000002</v>
      </c>
      <c r="S77" s="31">
        <f>'[31]2020 - 2024'!S77+'[32]2020-2024'!S77</f>
        <v>3052.0310500000001</v>
      </c>
      <c r="T77" s="31">
        <f>'[33]2020 - 2024'!T77+'[34]2020-2024'!T77</f>
        <v>2495.9788800000001</v>
      </c>
      <c r="U77" s="31">
        <f>'[35]2020 - 2024'!U77+'[36]2020-2024'!U77</f>
        <v>3519.9477999999999</v>
      </c>
      <c r="V77" s="31">
        <f>'[37]2020 - 2024'!V77+'[38]2020-2024'!V77</f>
        <v>3000.6859599999998</v>
      </c>
      <c r="W77" s="31">
        <f>'[39]2020 - 2025'!W77+'[40]2020-2025'!W77</f>
        <v>2842.5575800000001</v>
      </c>
      <c r="X77" s="31">
        <f>'[41]2020 - 2025'!X77+'[42]2020-2025'!X77</f>
        <v>3040.1652399999998</v>
      </c>
      <c r="Y77" s="31">
        <f>'[43]2020 - 2025'!Y77+'[44]2020-2025'!Y77</f>
        <v>2932.6778100000001</v>
      </c>
      <c r="Z77" s="31">
        <f>'[45]2020 - 2025'!Z77+'[46]2020-2025'!Z77</f>
        <v>15441.20694</v>
      </c>
      <c r="AA77" s="31">
        <f>'[47]2020 - 2026'!AA77+'[48]2020-2026'!AA77</f>
        <v>2547.2168000000001</v>
      </c>
    </row>
    <row r="78" spans="1:27" ht="15" customHeight="1" x14ac:dyDescent="0.15">
      <c r="B78" s="30" t="s">
        <v>32</v>
      </c>
      <c r="C78" s="31">
        <f>'[1]2015 - 2019'!S78+'[2]2015-2019'!S78</f>
        <v>261621</v>
      </c>
      <c r="D78" s="31">
        <f>'[3]2015 - 2019'!T78+'[4]2015-2019'!T78</f>
        <v>239163</v>
      </c>
      <c r="E78" s="31">
        <f>'[5]2015 - 2019'!U78+'[6]2015-2019'!U78</f>
        <v>243968</v>
      </c>
      <c r="F78" s="31">
        <f>'[7]2015 - 2019'!V78+'[8]2015-2019'!V78</f>
        <v>251403.465</v>
      </c>
      <c r="G78" s="31">
        <f>'[9]2015 - 2019'!W78+'[10]2016-2021'!W78</f>
        <v>252041.78782</v>
      </c>
      <c r="H78" s="31">
        <f>'[11]2016 - 2021'!X78+'[12]2016-2021'!X78</f>
        <v>244812.03023999999</v>
      </c>
      <c r="I78" s="31">
        <f>'[13]2016 - 2021'!Y78+'[14]2016-2021'!Y78</f>
        <v>260542.32915000001</v>
      </c>
      <c r="J78" s="31">
        <f>'[15]2016 - 2021'!Z78+'[16]2016-2021'!Z78</f>
        <v>255359.47112999999</v>
      </c>
      <c r="K78" s="31">
        <f>'[17]2018 - 2022'!S78+'[18]2018-2022'!S78</f>
        <v>261394.11192999998</v>
      </c>
      <c r="L78" s="31">
        <f>'[19]2018 - 2022'!T78+'[20]2018-2022'!T78</f>
        <v>260980.96490999998</v>
      </c>
      <c r="M78" s="31">
        <f>'[21]2018 - 2022'!U78+'[22]2018-2022'!U78</f>
        <v>274288.76685000001</v>
      </c>
      <c r="N78" s="31">
        <f>'[23]2018 - 2023'!V78+'[24]2018-2023'!V78</f>
        <v>272990.27535000001</v>
      </c>
      <c r="O78" s="31">
        <f>'[23]2018 - 2023'!W78+'[24]2018-2023'!W78</f>
        <v>268379.03340999997</v>
      </c>
      <c r="P78" s="31">
        <f>'[25]2018 - 2023'!X78+'[26]2018-2023'!X78</f>
        <v>275654.69253</v>
      </c>
      <c r="Q78" s="31">
        <f>'[27]2018 - 2023'!Y78+'[28]2018-2023'!Y78</f>
        <v>280086.37540999998</v>
      </c>
      <c r="R78" s="31">
        <f>'[29]2018 - 2023'!Z78+'[30]2018-2023'!Z78</f>
        <v>290446.11061999999</v>
      </c>
      <c r="S78" s="31">
        <f>'[31]2020 - 2024'!S78+'[32]2020-2024'!S78</f>
        <v>279813.04511000001</v>
      </c>
      <c r="T78" s="31">
        <f>'[33]2020 - 2024'!T78+'[34]2020-2024'!T78</f>
        <v>293292.86384000001</v>
      </c>
      <c r="U78" s="31">
        <f>'[35]2020 - 2024'!U78+'[36]2020-2024'!U78</f>
        <v>298439.46586</v>
      </c>
      <c r="V78" s="31">
        <f>'[37]2020 - 2024'!V78+'[38]2020-2024'!V78</f>
        <v>305954.12066000002</v>
      </c>
      <c r="W78" s="31">
        <f>'[39]2020 - 2025'!W78+'[40]2020-2025'!W78</f>
        <v>313628.30654999998</v>
      </c>
      <c r="X78" s="31">
        <f>'[41]2020 - 2025'!X78+'[42]2020-2025'!X78</f>
        <v>303667.68547999999</v>
      </c>
      <c r="Y78" s="31">
        <f>'[43]2020 - 2025'!Y78+'[44]2020-2025'!Y78</f>
        <v>308749.12</v>
      </c>
      <c r="Z78" s="31">
        <f>'[45]2020 - 2025'!Z78+'[46]2020-2025'!Z78</f>
        <v>321756.87513</v>
      </c>
      <c r="AA78" s="31">
        <f>'[47]2020 - 2026'!AA78+'[48]2020-2026'!AA78</f>
        <v>330476.06096999999</v>
      </c>
    </row>
    <row r="79" spans="1:27" ht="6" customHeight="1" x14ac:dyDescent="0.15">
      <c r="B79" s="21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5" customHeight="1" x14ac:dyDescent="0.15">
      <c r="B80" s="39" t="s">
        <v>38</v>
      </c>
      <c r="C80" s="19">
        <f t="shared" ref="C80:H80" si="149">SUM(C81:C85)</f>
        <v>1905062</v>
      </c>
      <c r="D80" s="19">
        <f t="shared" si="149"/>
        <v>2043140</v>
      </c>
      <c r="E80" s="19">
        <f t="shared" si="149"/>
        <v>1813874</v>
      </c>
      <c r="F80" s="19">
        <f t="shared" si="149"/>
        <v>1567523.0759999999</v>
      </c>
      <c r="G80" s="19">
        <f t="shared" si="149"/>
        <v>1413464.58387</v>
      </c>
      <c r="H80" s="19">
        <f t="shared" si="149"/>
        <v>1424959.5437099999</v>
      </c>
      <c r="I80" s="19">
        <f t="shared" ref="I80:J80" si="150">SUM(I81:I85)</f>
        <v>1415972.3614099999</v>
      </c>
      <c r="J80" s="19">
        <f t="shared" si="150"/>
        <v>1617262.35543</v>
      </c>
      <c r="K80" s="19">
        <f t="shared" ref="K80:L80" si="151">SUM(K81:K85)</f>
        <v>1522171.82809</v>
      </c>
      <c r="L80" s="19">
        <f t="shared" si="151"/>
        <v>1469020.5915699999</v>
      </c>
      <c r="M80" s="19">
        <f t="shared" ref="M80" si="152">SUM(M81:M85)</f>
        <v>1452279.4517000001</v>
      </c>
      <c r="N80" s="19">
        <f t="shared" ref="N80:O80" si="153">SUM(N81:N85)</f>
        <v>1542031.3436799999</v>
      </c>
      <c r="O80" s="19">
        <f t="shared" si="153"/>
        <v>1835075.8612700002</v>
      </c>
      <c r="P80" s="19">
        <f t="shared" ref="P80:Q80" si="154">SUM(P81:P85)</f>
        <v>1967690.4740399998</v>
      </c>
      <c r="Q80" s="19">
        <f t="shared" si="154"/>
        <v>2060527.1955499998</v>
      </c>
      <c r="R80" s="19">
        <f t="shared" ref="R80:S80" si="155">SUM(R81:R85)</f>
        <v>2378639.8883400001</v>
      </c>
      <c r="S80" s="19">
        <f t="shared" si="155"/>
        <v>2428281.6435499997</v>
      </c>
      <c r="T80" s="19">
        <f t="shared" ref="T80:U80" si="156">SUM(T81:T85)</f>
        <v>2407226.13215</v>
      </c>
      <c r="U80" s="19">
        <f t="shared" si="156"/>
        <v>2469381.08623</v>
      </c>
      <c r="V80" s="19">
        <f t="shared" ref="V80" si="157">SUM(V81:V85)</f>
        <v>2437285.9628300001</v>
      </c>
      <c r="W80" s="19">
        <f>'[39]2020 - 2025'!W80+'[40]2020-2025'!W80</f>
        <v>2353845.5244</v>
      </c>
      <c r="X80" s="19">
        <f>'[41]2020 - 2025'!X80+'[42]2020-2025'!X80</f>
        <v>2218558.9606699999</v>
      </c>
      <c r="Y80" s="19">
        <f>'[43]2020 - 2025'!Y80+'[44]2020-2025'!Y80</f>
        <v>2605868.7399000004</v>
      </c>
      <c r="Z80" s="19">
        <f>'[45]2020 - 2025'!Z80+'[46]2020-2025'!Z80</f>
        <v>2586129.98306</v>
      </c>
      <c r="AA80" s="19">
        <f>'[47]2020 - 2026'!AA80+'[48]2020-2026'!AA80</f>
        <v>2554798.0705399998</v>
      </c>
    </row>
    <row r="81" spans="1:27" ht="15" customHeight="1" x14ac:dyDescent="0.15">
      <c r="B81" s="16" t="s">
        <v>20</v>
      </c>
      <c r="C81" s="32">
        <f>'[1]2015 - 2019'!S81+'[2]2015-2019'!S81</f>
        <v>31676</v>
      </c>
      <c r="D81" s="32">
        <f>'[3]2015 - 2019'!T81+'[4]2015-2019'!T81</f>
        <v>31700</v>
      </c>
      <c r="E81" s="32">
        <f>'[5]2015 - 2019'!U81+'[6]2015-2019'!U81</f>
        <v>33471</v>
      </c>
      <c r="F81" s="32">
        <f>'[7]2015 - 2019'!V81+'[8]2015-2019'!V81</f>
        <v>35574.097000000002</v>
      </c>
      <c r="G81" s="32">
        <f>'[9]2015 - 2019'!W81+'[10]2016-2021'!W81</f>
        <v>35853.096669999999</v>
      </c>
      <c r="H81" s="32">
        <f>'[11]2016 - 2021'!X81+'[12]2016-2021'!X81</f>
        <v>35911.846669999999</v>
      </c>
      <c r="I81" s="32">
        <f>'[13]2016 - 2021'!Y81+'[14]2016-2021'!Y81</f>
        <v>33688.75</v>
      </c>
      <c r="J81" s="32">
        <f>'[15]2016 - 2021'!Z81+'[16]2016-2021'!Z81</f>
        <v>34051.517379999998</v>
      </c>
      <c r="K81" s="32">
        <f>'[17]2018 - 2022'!S81+'[18]2018-2022'!S81</f>
        <v>32841.25</v>
      </c>
      <c r="L81" s="32">
        <f>'[19]2018 - 2022'!T81+'[20]2018-2022'!T81</f>
        <v>30455</v>
      </c>
      <c r="M81" s="32">
        <f>'[21]2018 - 2022'!U81+'[22]2018-2022'!U81</f>
        <v>27941.25</v>
      </c>
      <c r="N81" s="32">
        <f>'[23]2018 - 2023'!V81+'[24]2018-2023'!V81</f>
        <v>30165</v>
      </c>
      <c r="O81" s="32">
        <f>'[23]2018 - 2023'!W81+'[24]2018-2023'!W81</f>
        <v>30840</v>
      </c>
      <c r="P81" s="32">
        <f>'[25]2018 - 2023'!X81+'[26]2018-2023'!X81</f>
        <v>31735</v>
      </c>
      <c r="Q81" s="32">
        <f>'[27]2018 - 2023'!Y81+'[28]2018-2023'!Y81</f>
        <v>30512.5</v>
      </c>
      <c r="R81" s="32">
        <f>'[29]2018 - 2023'!Z81+'[30]2018-2023'!Z81</f>
        <v>0</v>
      </c>
      <c r="S81" s="32">
        <f>'[31]2020 - 2024'!S81+'[32]2020-2024'!S81</f>
        <v>0</v>
      </c>
      <c r="T81" s="32">
        <f>'[33]2020 - 2024'!T81+'[34]2020-2024'!T81</f>
        <v>0</v>
      </c>
      <c r="U81" s="32">
        <f>'[35]2020 - 2024'!U81+'[36]2020-2024'!U81</f>
        <v>0</v>
      </c>
      <c r="V81" s="32">
        <f>'[37]2020 - 2024'!V81+'[38]2020-2024'!V81</f>
        <v>0</v>
      </c>
      <c r="W81" s="32">
        <f>'[39]2020 - 2025'!W81+'[40]2020-2025'!W81</f>
        <v>0</v>
      </c>
      <c r="X81" s="32">
        <f>'[41]2020 - 2025'!X81+'[42]2020-2025'!X81</f>
        <v>5513.17</v>
      </c>
      <c r="Y81" s="32">
        <f>'[43]2020 - 2025'!Y81+'[44]2020-2025'!Y81</f>
        <v>5314.7120000000004</v>
      </c>
      <c r="Z81" s="32">
        <f>'[45]2020 - 2025'!Z81+'[46]2020-2025'!Z81</f>
        <v>5224.92</v>
      </c>
      <c r="AA81" s="32">
        <f>'[47]2020 - 2026'!AA81+'[48]2020-2026'!AA81</f>
        <v>5146.5910000000003</v>
      </c>
    </row>
    <row r="82" spans="1:27" ht="15" customHeight="1" x14ac:dyDescent="0.15">
      <c r="B82" s="12" t="s">
        <v>47</v>
      </c>
      <c r="C82" s="32">
        <f>'[1]2015 - 2019'!S82+'[2]2015-2019'!S82</f>
        <v>0</v>
      </c>
      <c r="D82" s="32">
        <f>'[3]2015 - 2019'!T82+'[4]2015-2019'!T82</f>
        <v>60</v>
      </c>
      <c r="E82" s="32">
        <f>'[5]2015 - 2019'!U82+'[6]2015-2019'!U82</f>
        <v>0</v>
      </c>
      <c r="F82" s="32">
        <f>'[7]2015 - 2019'!V82+'[8]2015-2019'!V82</f>
        <v>60.043999999999997</v>
      </c>
      <c r="G82" s="32">
        <f>'[9]2015 - 2019'!W82+'[10]2016-2021'!W82</f>
        <v>0</v>
      </c>
      <c r="H82" s="32">
        <f>'[11]2016 - 2021'!X82+'[12]2016-2021'!X82</f>
        <v>0.22600000000000001</v>
      </c>
      <c r="I82" s="32">
        <f>'[13]2016 - 2021'!Y82+'[14]2016-2021'!Y82</f>
        <v>0</v>
      </c>
      <c r="J82" s="32">
        <f>'[15]2016 - 2021'!Z82+'[16]2016-2021'!Z82</f>
        <v>0</v>
      </c>
      <c r="K82" s="32">
        <f>'[17]2018 - 2022'!S82+'[18]2018-2022'!S82</f>
        <v>0</v>
      </c>
      <c r="L82" s="32">
        <f>'[19]2018 - 2022'!T82+'[20]2018-2022'!T82</f>
        <v>0</v>
      </c>
      <c r="M82" s="32">
        <f>'[21]2018 - 2022'!U82+'[22]2018-2022'!U82</f>
        <v>225000</v>
      </c>
      <c r="N82" s="32">
        <f>'[23]2018 - 2023'!V82+'[24]2018-2023'!V82</f>
        <v>475000</v>
      </c>
      <c r="O82" s="32">
        <f>'[23]2018 - 2023'!W82+'[24]2018-2023'!W82</f>
        <v>450038.02600000001</v>
      </c>
      <c r="P82" s="32">
        <f>'[25]2018 - 2023'!X82+'[26]2018-2023'!X82</f>
        <v>500000.00040000002</v>
      </c>
      <c r="Q82" s="32">
        <f>'[27]2018 - 2023'!Y82+'[28]2018-2023'!Y82</f>
        <v>675010.16760000004</v>
      </c>
      <c r="R82" s="32">
        <f>'[29]2018 - 2023'!Z82+'[30]2018-2023'!Z82</f>
        <v>600000</v>
      </c>
      <c r="S82" s="32">
        <f>'[31]2020 - 2024'!S82+'[32]2020-2024'!S82</f>
        <v>600031.26899999997</v>
      </c>
      <c r="T82" s="32">
        <f>'[33]2020 - 2024'!T82+'[34]2020-2024'!T82</f>
        <v>450019.14</v>
      </c>
      <c r="U82" s="32">
        <f>'[35]2020 - 2024'!U82+'[36]2020-2024'!U82</f>
        <v>650010.56400000001</v>
      </c>
      <c r="V82" s="32">
        <f>'[37]2020 - 2024'!V82+'[38]2020-2024'!V82</f>
        <v>800051.09</v>
      </c>
      <c r="W82" s="32">
        <f>'[39]2020 - 2025'!W82+'[40]2020-2025'!W82</f>
        <v>800087.16599999997</v>
      </c>
      <c r="X82" s="32">
        <f>'[41]2020 - 2025'!X82+'[42]2020-2025'!X82</f>
        <v>800000</v>
      </c>
      <c r="Y82" s="32">
        <f>'[43]2020 - 2025'!Y82+'[44]2020-2025'!Y82</f>
        <v>1050000</v>
      </c>
      <c r="Z82" s="32">
        <f>'[45]2020 - 2025'!Z82+'[46]2020-2025'!Z82</f>
        <v>1000000</v>
      </c>
      <c r="AA82" s="32">
        <f>'[47]2020 - 2026'!AA82+'[48]2020-2026'!AA82</f>
        <v>1000000</v>
      </c>
    </row>
    <row r="83" spans="1:27" ht="15" customHeight="1" x14ac:dyDescent="0.15">
      <c r="B83" s="12" t="s">
        <v>64</v>
      </c>
      <c r="C83" s="32">
        <f>'[1]2015 - 2019'!S83+'[2]2015-2019'!S83</f>
        <v>233356</v>
      </c>
      <c r="D83" s="32">
        <f>'[3]2015 - 2019'!T83+'[4]2015-2019'!T83</f>
        <v>357974</v>
      </c>
      <c r="E83" s="32">
        <f>'[5]2015 - 2019'!U83+'[6]2015-2019'!U83</f>
        <v>259153</v>
      </c>
      <c r="F83" s="32">
        <f>'[7]2015 - 2019'!V83+'[8]2015-2019'!V83</f>
        <v>308211.83</v>
      </c>
      <c r="G83" s="32">
        <f>'[9]2015 - 2019'!W83+'[10]2016-2021'!W83</f>
        <v>172147.66381</v>
      </c>
      <c r="H83" s="32">
        <f>'[11]2016 - 2021'!X83+'[12]2016-2021'!X83</f>
        <v>176951.48668999999</v>
      </c>
      <c r="I83" s="32">
        <f>'[13]2016 - 2021'!Y83+'[14]2016-2021'!Y83</f>
        <v>175769.90534</v>
      </c>
      <c r="J83" s="32">
        <f>'[15]2016 - 2021'!Z83+'[16]2016-2021'!Z83</f>
        <v>466707.01053999999</v>
      </c>
      <c r="K83" s="32">
        <f>'[17]2018 - 2022'!S83+'[18]2018-2022'!S83</f>
        <v>453013.73447999998</v>
      </c>
      <c r="L83" s="32">
        <f>'[19]2018 - 2022'!T83+'[20]2018-2022'!T83</f>
        <v>406630.36099999998</v>
      </c>
      <c r="M83" s="32">
        <f>'[21]2018 - 2022'!U83+'[22]2018-2022'!U83</f>
        <v>168566.84078999999</v>
      </c>
      <c r="N83" s="32">
        <f>'[23]2018 - 2023'!V83+'[24]2018-2023'!V83</f>
        <v>73809.140299999999</v>
      </c>
      <c r="O83" s="32">
        <f>'[23]2018 - 2023'!W83+'[24]2018-2023'!W83</f>
        <v>412336.66118</v>
      </c>
      <c r="P83" s="32">
        <f>'[25]2018 - 2023'!X83+'[26]2018-2023'!X83</f>
        <v>529398.19588999997</v>
      </c>
      <c r="Q83" s="32">
        <f>'[27]2018 - 2023'!Y83+'[28]2018-2023'!Y83</f>
        <v>449463.07076999999</v>
      </c>
      <c r="R83" s="32">
        <f>'[29]2018 - 2023'!Z83+'[30]2018-2023'!Z83</f>
        <v>874513.47995000007</v>
      </c>
      <c r="S83" s="32">
        <f>'[31]2020 - 2024'!S83+'[32]2020-2024'!S83</f>
        <v>854377.72373999993</v>
      </c>
      <c r="T83" s="32">
        <f>'[33]2020 - 2024'!T83+'[34]2020-2024'!T83</f>
        <v>1043780.29744</v>
      </c>
      <c r="U83" s="32">
        <f>'[35]2020 - 2024'!U83+'[36]2020-2024'!U83</f>
        <v>877765.03989999997</v>
      </c>
      <c r="V83" s="32">
        <f>'[37]2020 - 2024'!V83+'[38]2020-2024'!V83</f>
        <v>681093.09640000004</v>
      </c>
      <c r="W83" s="32">
        <f>'[39]2020 - 2025'!W83+'[40]2020-2025'!W83</f>
        <v>719920.18588</v>
      </c>
      <c r="X83" s="32">
        <f>'[41]2020 - 2025'!X83+'[42]2020-2025'!X83</f>
        <v>690384.02928999998</v>
      </c>
      <c r="Y83" s="32">
        <f>'[43]2020 - 2025'!Y83+'[44]2020-2025'!Y83</f>
        <v>829378.25211</v>
      </c>
      <c r="Z83" s="32">
        <f>'[45]2020 - 2025'!Z83+'[46]2020-2025'!Z83</f>
        <v>858926.77862999996</v>
      </c>
      <c r="AA83" s="32">
        <f>'[47]2020 - 2026'!AA83+'[48]2020-2026'!AA83</f>
        <v>806258.92110000004</v>
      </c>
    </row>
    <row r="84" spans="1:27" ht="15" customHeight="1" x14ac:dyDescent="0.15">
      <c r="B84" s="12" t="s">
        <v>81</v>
      </c>
      <c r="C84" s="32">
        <f>'[1]2015 - 2019'!S84+'[2]2015-2019'!S84</f>
        <v>1139621</v>
      </c>
      <c r="D84" s="32">
        <f>'[3]2015 - 2019'!T84+'[4]2015-2019'!T84</f>
        <v>1147124</v>
      </c>
      <c r="E84" s="32">
        <f>'[5]2015 - 2019'!U84+'[6]2015-2019'!U84</f>
        <v>988931</v>
      </c>
      <c r="F84" s="32">
        <f>'[7]2015 - 2019'!V84+'[8]2015-2019'!V84</f>
        <v>688303.05700000003</v>
      </c>
      <c r="G84" s="32">
        <f>'[9]2015 - 2019'!W84+'[10]2016-2021'!W84</f>
        <v>669032.90157999995</v>
      </c>
      <c r="H84" s="32">
        <f>'[11]2016 - 2021'!X84+'[12]2016-2021'!X84</f>
        <v>680504.92854999995</v>
      </c>
      <c r="I84" s="32">
        <f>'[13]2016 - 2021'!Y84+'[14]2016-2021'!Y84</f>
        <v>677296.88437999994</v>
      </c>
      <c r="J84" s="32">
        <f>'[15]2016 - 2021'!Z84+'[16]2016-2021'!Z84</f>
        <v>603388.88624999998</v>
      </c>
      <c r="K84" s="32">
        <f>'[17]2018 - 2022'!S84+'[18]2018-2022'!S84</f>
        <v>583902.29055999999</v>
      </c>
      <c r="L84" s="32">
        <f>'[19]2018 - 2022'!T84+'[20]2018-2022'!T84</f>
        <v>564154.45178999996</v>
      </c>
      <c r="M84" s="32">
        <f>'[21]2018 - 2022'!U84+'[22]2018-2022'!U84</f>
        <v>565842.36493000004</v>
      </c>
      <c r="N84" s="32">
        <f>'[23]2018 - 2023'!V84+'[24]2018-2023'!V84</f>
        <v>524646.58433999994</v>
      </c>
      <c r="O84" s="32">
        <f>'[23]2018 - 2023'!W84+'[24]2018-2023'!W84</f>
        <v>503373.97574999998</v>
      </c>
      <c r="P84" s="32">
        <f>'[25]2018 - 2023'!X84+'[26]2018-2023'!X84</f>
        <v>473836.73364999995</v>
      </c>
      <c r="Q84" s="32">
        <f>'[27]2018 - 2023'!Y84+'[28]2018-2023'!Y84</f>
        <v>463629.16577999998</v>
      </c>
      <c r="R84" s="32">
        <f>'[29]2018 - 2023'!Z84+'[30]2018-2023'!Z84</f>
        <v>463346.82532999996</v>
      </c>
      <c r="S84" s="32">
        <f>'[31]2020 - 2024'!S84+'[32]2020-2024'!S84</f>
        <v>454556.43543999997</v>
      </c>
      <c r="T84" s="32">
        <f>'[33]2020 - 2024'!T84+'[34]2020-2024'!T84</f>
        <v>467637.33318999998</v>
      </c>
      <c r="U84" s="32">
        <f>'[35]2020 - 2024'!U84+'[36]2020-2024'!U84</f>
        <v>498767.46741000004</v>
      </c>
      <c r="V84" s="32">
        <f>'[37]2020 - 2024'!V84+'[38]2020-2024'!V84</f>
        <v>518733.20695999998</v>
      </c>
      <c r="W84" s="32">
        <f>'[39]2020 - 2025'!W84+'[40]2020-2025'!W84</f>
        <v>486829.91126999998</v>
      </c>
      <c r="X84" s="32">
        <f>'[41]2020 - 2025'!X84+'[42]2020-2025'!X84</f>
        <v>427792.31115999998</v>
      </c>
      <c r="Y84" s="32">
        <f>'[43]2020 - 2025'!Y84+'[44]2020-2025'!Y84</f>
        <v>422167.26028000005</v>
      </c>
      <c r="Z84" s="32">
        <f>'[45]2020 - 2025'!Z84+'[46]2020-2025'!Z84</f>
        <v>402379.27282000001</v>
      </c>
      <c r="AA84" s="32">
        <f>'[47]2020 - 2026'!AA84+'[48]2020-2026'!AA84</f>
        <v>425618.44013999996</v>
      </c>
    </row>
    <row r="85" spans="1:27" ht="15" customHeight="1" x14ac:dyDescent="0.15">
      <c r="B85" s="12" t="s">
        <v>84</v>
      </c>
      <c r="C85" s="32">
        <f>'[1]2015 - 2019'!S85+'[2]2015-2019'!S85</f>
        <v>500409</v>
      </c>
      <c r="D85" s="32">
        <f>'[3]2015 - 2019'!T85+'[4]2015-2019'!T85</f>
        <v>506282</v>
      </c>
      <c r="E85" s="32">
        <f>'[5]2015 - 2019'!U85+'[6]2015-2019'!U85</f>
        <v>532319</v>
      </c>
      <c r="F85" s="32">
        <f>'[7]2015 - 2019'!V85+'[8]2015-2019'!V85</f>
        <v>535374.04799999995</v>
      </c>
      <c r="G85" s="32">
        <f>'[9]2015 - 2019'!W85+'[10]2016-2021'!W85</f>
        <v>536430.92180999997</v>
      </c>
      <c r="H85" s="32">
        <f>'[11]2016 - 2021'!X85+'[12]2016-2021'!X85</f>
        <v>531591.05579999997</v>
      </c>
      <c r="I85" s="32">
        <f>'[13]2016 - 2021'!Y85+'[14]2016-2021'!Y85</f>
        <v>529216.82169000001</v>
      </c>
      <c r="J85" s="32">
        <f>'[15]2016 - 2021'!Z85+'[16]2016-2021'!Z85</f>
        <v>513114.94125999999</v>
      </c>
      <c r="K85" s="32">
        <f>'[17]2018 - 2022'!S85+'[18]2018-2022'!S85</f>
        <v>452414.55304999999</v>
      </c>
      <c r="L85" s="32">
        <f>'[19]2018 - 2022'!T85+'[20]2018-2022'!T85</f>
        <v>467780.77877999999</v>
      </c>
      <c r="M85" s="32">
        <f>'[21]2018 - 2022'!U85+'[22]2018-2022'!U85</f>
        <v>464928.99598000001</v>
      </c>
      <c r="N85" s="32">
        <f>'[23]2018 - 2023'!V85+'[24]2018-2023'!V85</f>
        <v>438410.61904000002</v>
      </c>
      <c r="O85" s="32">
        <f>'[23]2018 - 2023'!W85+'[24]2018-2023'!W85</f>
        <v>438487.19834</v>
      </c>
      <c r="P85" s="32">
        <f>'[25]2018 - 2023'!X85+'[26]2018-2023'!X85</f>
        <v>432720.5441</v>
      </c>
      <c r="Q85" s="32">
        <f>'[27]2018 - 2023'!Y85+'[28]2018-2023'!Y85</f>
        <v>441912.29139999999</v>
      </c>
      <c r="R85" s="32">
        <f>'[29]2018 - 2023'!Z85+'[30]2018-2023'!Z85</f>
        <v>440779.58306000003</v>
      </c>
      <c r="S85" s="32">
        <f>'[31]2020 - 2024'!S85+'[32]2020-2024'!S85</f>
        <v>519316.21536999999</v>
      </c>
      <c r="T85" s="32">
        <f>'[33]2020 - 2024'!T85+'[34]2020-2024'!T85</f>
        <v>445789.36151999998</v>
      </c>
      <c r="U85" s="32">
        <f>'[35]2020 - 2024'!U85+'[36]2020-2024'!U85</f>
        <v>442838.01491999999</v>
      </c>
      <c r="V85" s="32">
        <f>'[37]2020 - 2024'!V85+'[38]2020-2024'!V85</f>
        <v>437408.56946999999</v>
      </c>
      <c r="W85" s="32">
        <f>'[39]2020 - 2025'!W85+'[40]2020-2025'!W85</f>
        <v>347008.26124999998</v>
      </c>
      <c r="X85" s="32">
        <f>'[41]2020 - 2025'!X85+'[42]2020-2025'!X85</f>
        <v>294869.45022</v>
      </c>
      <c r="Y85" s="32">
        <f>'[43]2020 - 2025'!Y85+'[44]2020-2025'!Y85</f>
        <v>299008.51551</v>
      </c>
      <c r="Z85" s="32">
        <f>'[45]2020 - 2025'!Z85+'[46]2020-2025'!Z85</f>
        <v>319599.01160999999</v>
      </c>
      <c r="AA85" s="32">
        <f>'[47]2020 - 2026'!AA85+'[48]2020-2026'!AA85</f>
        <v>317774.11829999997</v>
      </c>
    </row>
    <row r="86" spans="1:27" ht="15" customHeight="1" x14ac:dyDescent="0.15">
      <c r="B86" s="2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5" customHeight="1" x14ac:dyDescent="0.15">
      <c r="A87" s="4">
        <v>5</v>
      </c>
      <c r="B87" s="20" t="s">
        <v>40</v>
      </c>
      <c r="C87" s="19">
        <f>'[1]2015 - 2019'!S87+'[2]2015-2019'!S87</f>
        <v>279959</v>
      </c>
      <c r="D87" s="19">
        <f>'[3]2015 - 2019'!T87+'[4]2015-2019'!T87</f>
        <v>289130</v>
      </c>
      <c r="E87" s="19">
        <f>'[5]2015 - 2019'!U87+'[6]2015-2019'!U87</f>
        <v>223074</v>
      </c>
      <c r="F87" s="19">
        <f>'[7]2015 - 2019'!V87+'[8]2015-2019'!V87</f>
        <v>221394.174</v>
      </c>
      <c r="G87" s="19">
        <f>'[9]2015 - 2019'!W87+'[10]2016-2021'!W87</f>
        <v>217291.33475000001</v>
      </c>
      <c r="H87" s="19">
        <f>'[11]2016 - 2021'!X87+'[12]2016-2021'!X87</f>
        <v>214360.80973000001</v>
      </c>
      <c r="I87" s="19">
        <f>'[13]2016 - 2021'!Y87+'[14]2016-2021'!Y87</f>
        <v>203049.83984</v>
      </c>
      <c r="J87" s="19">
        <f>'[15]2016 - 2021'!Z87+'[16]2016-2021'!Z87</f>
        <v>198707.21402999997</v>
      </c>
      <c r="K87" s="19">
        <f>'[17]2018 - 2022'!S87+'[18]2018-2022'!S87</f>
        <v>195654.62972000003</v>
      </c>
      <c r="L87" s="19">
        <f>'[19]2018 - 2022'!T87+'[20]2018-2022'!T87</f>
        <v>194921.44654</v>
      </c>
      <c r="M87" s="19">
        <f>'[21]2018 - 2022'!U87+'[22]2018-2022'!U87</f>
        <v>193912.08924999999</v>
      </c>
      <c r="N87" s="19">
        <f>'[23]2018 - 2023'!V87+'[24]2018-2023'!V87</f>
        <v>203284.92256000001</v>
      </c>
      <c r="O87" s="19">
        <f>'[23]2018 - 2023'!W87+'[24]2018-2023'!W87</f>
        <v>198740.20481</v>
      </c>
      <c r="P87" s="19">
        <f>'[25]2018 - 2023'!X87+'[26]2018-2023'!X87</f>
        <v>210710.81727</v>
      </c>
      <c r="Q87" s="19">
        <f>'[27]2018 - 2023'!Y87+'[28]2018-2023'!Y87</f>
        <v>205871.59716999999</v>
      </c>
      <c r="R87" s="19">
        <f>'[29]2018 - 2023'!Z87+'[30]2018-2023'!Z87</f>
        <v>207661.44446</v>
      </c>
      <c r="S87" s="19">
        <f>'[31]2020 - 2024'!S87+'[32]2020-2024'!S87</f>
        <v>206715.59657999998</v>
      </c>
      <c r="T87" s="19">
        <f>'[33]2020 - 2024'!T87+'[34]2020-2024'!T87</f>
        <v>206100.21714999998</v>
      </c>
      <c r="U87" s="19">
        <f>'[35]2020 - 2024'!U87+'[36]2020-2024'!U87</f>
        <v>205615.63709</v>
      </c>
      <c r="V87" s="19">
        <f>'[37]2020 - 2024'!V87+'[38]2020-2024'!V87</f>
        <v>202278.87565999999</v>
      </c>
      <c r="W87" s="19">
        <f>'[39]2020 - 2025'!W87+'[40]2020-2025'!W87</f>
        <v>199464.7929</v>
      </c>
      <c r="X87" s="19">
        <f>'[41]2020 - 2025'!X87+'[42]2020-2025'!X87</f>
        <v>201463.69584</v>
      </c>
      <c r="Y87" s="19">
        <f>'[43]2020 - 2025'!Y87+'[44]2020-2025'!Y87</f>
        <v>197639.46148999999</v>
      </c>
      <c r="Z87" s="19">
        <f>'[45]2020 - 2025'!Z87+'[46]2020-2025'!Z87</f>
        <v>196745.87545999998</v>
      </c>
      <c r="AA87" s="19">
        <f>'[47]2020 - 2026'!AA87+'[48]2020-2026'!AA87</f>
        <v>195024.44704999999</v>
      </c>
    </row>
    <row r="88" spans="1:27" ht="15" customHeight="1" x14ac:dyDescent="0.15">
      <c r="A88" s="4">
        <v>6</v>
      </c>
      <c r="B88" s="20" t="s">
        <v>94</v>
      </c>
      <c r="C88" s="19">
        <f>'[1]2015 - 2019'!S88+'[2]2015-2019'!S88</f>
        <v>368657</v>
      </c>
      <c r="D88" s="19">
        <f>'[3]2015 - 2019'!T88+'[4]2015-2019'!T88</f>
        <v>317169</v>
      </c>
      <c r="E88" s="19">
        <f>'[5]2015 - 2019'!U88+'[6]2015-2019'!U88</f>
        <v>265286</v>
      </c>
      <c r="F88" s="19">
        <f>'[7]2015 - 2019'!V88+'[8]2015-2019'!V88</f>
        <v>319014.53099999996</v>
      </c>
      <c r="G88" s="19">
        <f>'[9]2015 - 2019'!W88+'[10]2016-2021'!W88</f>
        <v>365053.13948999997</v>
      </c>
      <c r="H88" s="19">
        <f>'[11]2016 - 2021'!X88+'[12]2016-2021'!X88</f>
        <v>316071.48546999996</v>
      </c>
      <c r="I88" s="19">
        <f>'[13]2016 - 2021'!Y88+'[14]2016-2021'!Y88</f>
        <v>347327.76636999997</v>
      </c>
      <c r="J88" s="19">
        <f>'[15]2016 - 2021'!Z88+'[16]2016-2021'!Z88</f>
        <v>347931.66627000005</v>
      </c>
      <c r="K88" s="19">
        <f>'[17]2018 - 2022'!S88+'[18]2018-2022'!S88</f>
        <v>375243.97956999997</v>
      </c>
      <c r="L88" s="19">
        <f>'[19]2018 - 2022'!T88+'[20]2018-2022'!T88</f>
        <v>329752.54385000002</v>
      </c>
      <c r="M88" s="19">
        <f>'[21]2018 - 2022'!U88+'[22]2018-2022'!U88</f>
        <v>339332.06770999997</v>
      </c>
      <c r="N88" s="19">
        <f>'[23]2018 - 2023'!V88+'[24]2018-2023'!V88</f>
        <v>357560.84771</v>
      </c>
      <c r="O88" s="19">
        <f>'[23]2018 - 2023'!W88+'[24]2018-2023'!W88</f>
        <v>415278.56536999997</v>
      </c>
      <c r="P88" s="19">
        <f>'[25]2018 - 2023'!X88+'[26]2018-2023'!X88</f>
        <v>329348.00663000002</v>
      </c>
      <c r="Q88" s="19">
        <f>'[27]2018 - 2023'!Y88+'[28]2018-2023'!Y88</f>
        <v>342184.21072000003</v>
      </c>
      <c r="R88" s="19">
        <f>'[29]2018 - 2023'!Z88+'[30]2018-2023'!Z88</f>
        <v>321042.11680999998</v>
      </c>
      <c r="S88" s="19">
        <f>'[31]2020 - 2024'!S88+'[32]2020-2024'!S88</f>
        <v>342201.05911999999</v>
      </c>
      <c r="T88" s="19">
        <f>'[33]2020 - 2024'!T88+'[34]2020-2024'!T88</f>
        <v>353982.49157000001</v>
      </c>
      <c r="U88" s="19">
        <f>'[35]2020 - 2024'!U88+'[36]2020-2024'!U88</f>
        <v>326446.83775000001</v>
      </c>
      <c r="V88" s="19">
        <f>'[37]2020 - 2024'!V88+'[38]2020-2024'!V88</f>
        <v>324221.40302999999</v>
      </c>
      <c r="W88" s="19">
        <f>'[39]2020 - 2025'!W88+'[40]2020-2025'!W88</f>
        <v>364356.36272999999</v>
      </c>
      <c r="X88" s="19">
        <f>'[41]2020 - 2025'!X88+'[42]2020-2025'!X88</f>
        <v>345538.10497999995</v>
      </c>
      <c r="Y88" s="19">
        <f>'[43]2020 - 2025'!Y88+'[44]2020-2025'!Y88</f>
        <v>337414.72412999999</v>
      </c>
      <c r="Z88" s="19">
        <f>'[45]2020 - 2025'!Z88+'[46]2020-2025'!Z88</f>
        <v>642459.24445999996</v>
      </c>
      <c r="AA88" s="19">
        <f>'[47]2020 - 2026'!AA88+'[48]2020-2026'!AA88</f>
        <v>353055.08846</v>
      </c>
    </row>
    <row r="89" spans="1:27" ht="15" customHeight="1" x14ac:dyDescent="0.15">
      <c r="A89" s="4">
        <v>7</v>
      </c>
      <c r="B89" s="20" t="s">
        <v>0</v>
      </c>
      <c r="C89" s="19">
        <f t="shared" ref="C89:H89" si="158">C7+C8+C21+C38+C55+C87+C88</f>
        <v>20143998</v>
      </c>
      <c r="D89" s="19">
        <f t="shared" si="158"/>
        <v>18622463</v>
      </c>
      <c r="E89" s="19">
        <f t="shared" si="158"/>
        <v>19864254</v>
      </c>
      <c r="F89" s="19">
        <f t="shared" si="158"/>
        <v>20192107.946000002</v>
      </c>
      <c r="G89" s="19">
        <f t="shared" si="158"/>
        <v>20134399.09293</v>
      </c>
      <c r="H89" s="19">
        <f t="shared" si="158"/>
        <v>21728007.631770004</v>
      </c>
      <c r="I89" s="19">
        <f t="shared" ref="I89:J89" si="159">I7+I8+I21+I38+I55+I87+I88</f>
        <v>22108394.539280001</v>
      </c>
      <c r="J89" s="19">
        <f t="shared" si="159"/>
        <v>21753416.319360003</v>
      </c>
      <c r="K89" s="19">
        <f t="shared" ref="K89:L89" si="160">K7+K8+K21+K38+K55+K87+K88</f>
        <v>22696113.53297</v>
      </c>
      <c r="L89" s="19">
        <f t="shared" si="160"/>
        <v>21591189.178590003</v>
      </c>
      <c r="M89" s="19">
        <f t="shared" ref="M89" si="161">M7+M8+M21+M38+M55+M87+M88</f>
        <v>21001357.147529997</v>
      </c>
      <c r="N89" s="19">
        <f t="shared" ref="N89:O89" si="162">N7+N8+N21+N38+N55+N87+N88</f>
        <v>20946335.253069997</v>
      </c>
      <c r="O89" s="19">
        <f t="shared" si="162"/>
        <v>21602681.498750001</v>
      </c>
      <c r="P89" s="19">
        <f t="shared" ref="P89:Q89" si="163">P7+P8+P21+P38+P55+P87+P88</f>
        <v>21555031.165270001</v>
      </c>
      <c r="Q89" s="19">
        <f t="shared" si="163"/>
        <v>22928307.309269998</v>
      </c>
      <c r="R89" s="19">
        <f t="shared" ref="R89:S89" si="164">R7+R8+R21+R38+R55+R87+R88</f>
        <v>22094523.571770001</v>
      </c>
      <c r="S89" s="19">
        <f t="shared" si="164"/>
        <v>21959233.98105</v>
      </c>
      <c r="T89" s="19">
        <f t="shared" ref="T89:U89" si="165">T7+T8+T21+T38+T55+T87+T88</f>
        <v>21689846.933369998</v>
      </c>
      <c r="U89" s="19">
        <f t="shared" si="165"/>
        <v>22905000.128389999</v>
      </c>
      <c r="V89" s="19">
        <f t="shared" ref="V89" si="166">V7+V8+V21+V38+V55+V87+V88</f>
        <v>22102246.82412</v>
      </c>
      <c r="W89" s="19">
        <f>'[39]2020 - 2025'!W89+'[40]2020-2025'!W89</f>
        <v>22629186.710110001</v>
      </c>
      <c r="X89" s="19">
        <f>'[41]2020 - 2025'!X89+'[42]2020-2025'!X89</f>
        <v>23226159.318219997</v>
      </c>
      <c r="Y89" s="19">
        <f>'[43]2020 - 2025'!Y89+'[44]2020-2025'!Y89</f>
        <v>22201569.894199997</v>
      </c>
      <c r="Z89" s="19">
        <f>'[45]2020 - 2025'!Z89+'[46]2020-2025'!Z89</f>
        <v>23257143.514930002</v>
      </c>
      <c r="AA89" s="19">
        <f>'[47]2020 - 2026'!AA89+'[48]2020-2026'!AA89</f>
        <v>23262556.175930001</v>
      </c>
    </row>
    <row r="90" spans="1:27" s="41" customFormat="1" ht="15.95" customHeight="1" thickBot="1" x14ac:dyDescent="0.2">
      <c r="A90" s="4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15.95" customHeight="1" thickBot="1" x14ac:dyDescent="0.25">
      <c r="B91" s="151" t="s">
        <v>96</v>
      </c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3"/>
      <c r="W91" s="153"/>
      <c r="X91" s="153"/>
      <c r="Y91" s="153"/>
      <c r="Z91" s="153"/>
      <c r="AA91" s="154"/>
    </row>
    <row r="92" spans="1:27" ht="12" thickBot="1" x14ac:dyDescent="0.2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7" ht="18.95" customHeight="1" thickBot="1" x14ac:dyDescent="0.25">
      <c r="B93" s="42" t="s">
        <v>23</v>
      </c>
      <c r="C93" s="148" t="s">
        <v>98</v>
      </c>
      <c r="D93" s="148" t="s">
        <v>99</v>
      </c>
      <c r="E93" s="148" t="s">
        <v>100</v>
      </c>
      <c r="F93" s="148" t="s">
        <v>101</v>
      </c>
      <c r="G93" s="148" t="s">
        <v>102</v>
      </c>
      <c r="H93" s="148" t="s">
        <v>103</v>
      </c>
      <c r="I93" s="148" t="s">
        <v>104</v>
      </c>
      <c r="J93" s="148" t="s">
        <v>105</v>
      </c>
      <c r="K93" s="148" t="s">
        <v>106</v>
      </c>
      <c r="L93" s="148" t="s">
        <v>107</v>
      </c>
      <c r="M93" s="148" t="s">
        <v>108</v>
      </c>
      <c r="N93" s="148" t="s">
        <v>109</v>
      </c>
      <c r="O93" s="148" t="s">
        <v>110</v>
      </c>
      <c r="P93" s="148" t="s">
        <v>111</v>
      </c>
      <c r="Q93" s="148" t="s">
        <v>112</v>
      </c>
      <c r="R93" s="148" t="s">
        <v>113</v>
      </c>
      <c r="S93" s="148" t="s">
        <v>114</v>
      </c>
      <c r="T93" s="148" t="s">
        <v>115</v>
      </c>
      <c r="U93" s="148" t="s">
        <v>116</v>
      </c>
      <c r="V93" s="148" t="s">
        <v>117</v>
      </c>
      <c r="W93" s="148" t="s">
        <v>118</v>
      </c>
      <c r="X93" s="148" t="s">
        <v>119</v>
      </c>
      <c r="Y93" s="148" t="s">
        <v>120</v>
      </c>
      <c r="Z93" s="148" t="s">
        <v>121</v>
      </c>
      <c r="AA93" s="132" t="s">
        <v>122</v>
      </c>
    </row>
    <row r="94" spans="1:27" ht="15.95" customHeight="1" x14ac:dyDescent="0.15">
      <c r="B94" s="43" t="s">
        <v>1</v>
      </c>
      <c r="C94" s="19">
        <f>'[1]2015 - 2019'!S94+'[2]2015-2019'!S94</f>
        <v>12220917</v>
      </c>
      <c r="D94" s="19">
        <f>'[3]2015 - 2019'!T94+'[4]2015-2019'!T94</f>
        <v>12189653</v>
      </c>
      <c r="E94" s="19">
        <f>'[5]2015 - 2019'!U94+'[6]2015-2019'!U94</f>
        <v>12106014</v>
      </c>
      <c r="F94" s="19">
        <f>'[7]2015 - 2019'!V94+'[8]2015-2019'!V94</f>
        <v>13416466.358000001</v>
      </c>
      <c r="G94" s="19">
        <f>'[9]2015 - 2019'!W94+'[10]2016-2021'!W94</f>
        <v>13078716.69303</v>
      </c>
      <c r="H94" s="19">
        <f>'[11]2016 - 2021'!X94+'[12]2016-2021'!X94</f>
        <v>14810421.876649998</v>
      </c>
      <c r="I94" s="19">
        <f>'[13]2016 - 2021'!Y94+'[14]2016-2021'!Y94</f>
        <v>14496564.399069998</v>
      </c>
      <c r="J94" s="19">
        <f>'[15]2016 - 2021'!Z94+'[16]2016-2021'!Z94</f>
        <v>14734357.52124</v>
      </c>
      <c r="K94" s="19">
        <f>'[17]2018 - 2022'!S94+'[18]2018-2022'!S94</f>
        <v>14930045.220260002</v>
      </c>
      <c r="L94" s="19">
        <f>'[19]2018 - 2022'!T94+'[20]2018-2022'!T94</f>
        <v>14631231.042119998</v>
      </c>
      <c r="M94" s="19">
        <f>'[21]2018 - 2022'!U94+'[22]2018-2022'!U94</f>
        <v>13639301.6139</v>
      </c>
      <c r="N94" s="19">
        <f>'[23]2018 - 2023'!V94+'[24]2018-2023'!V94</f>
        <v>13652308.843470002</v>
      </c>
      <c r="O94" s="19">
        <f>'[23]2018 - 2023'!W94+'[24]2018-2023'!W94</f>
        <v>14021970.480560001</v>
      </c>
      <c r="P94" s="19">
        <f>'[25]2018 - 2023'!X94+'[26]2018-2023'!X94</f>
        <v>13596136.238480002</v>
      </c>
      <c r="Q94" s="19">
        <f>'[27]2018 - 2023'!Y94+'[28]2018-2023'!Y94</f>
        <v>13682273.063280001</v>
      </c>
      <c r="R94" s="19">
        <f>'[29]2018 - 2023'!Z94+'[30]2018-2023'!Z94</f>
        <v>13581875.562719999</v>
      </c>
      <c r="S94" s="19">
        <f>'[31]2020 - 2024'!S94+'[32]2020-2024'!S94</f>
        <v>13675623.258739999</v>
      </c>
      <c r="T94" s="19">
        <f>'[33]2020 - 2024'!T94+'[34]2020-2024'!T94</f>
        <v>13956969.067260001</v>
      </c>
      <c r="U94" s="19">
        <f>'[35]2020 - 2024'!U94+'[36]2020-2024'!U94</f>
        <v>15068701.502379999</v>
      </c>
      <c r="V94" s="19">
        <f>'[37]2020 - 2024'!V94+'[38]2020-2024'!V94</f>
        <v>14681810.528580002</v>
      </c>
      <c r="W94" s="19">
        <f>'[39]2020 - 2025'!W94+'[40]2020-2025'!W94</f>
        <v>15400741.95267</v>
      </c>
      <c r="X94" s="19">
        <f>'[41]2020 - 2025'!X94+'[42]2020-2025'!X94</f>
        <v>15636784.748600001</v>
      </c>
      <c r="Y94" s="19">
        <f>'[43]2020 - 2025'!Y94+'[44]2020-2025'!Y94</f>
        <v>14575085.331549998</v>
      </c>
      <c r="Z94" s="19">
        <f>'[45]2020 - 2025'!Z94+'[46]2020-2025'!Z94</f>
        <v>16446478.832520001</v>
      </c>
      <c r="AA94" s="19">
        <f>'[47]2020 - 2026'!AA94+'[48]2020-2026'!AA94</f>
        <v>16327632.283719998</v>
      </c>
    </row>
    <row r="95" spans="1:27" ht="15.95" customHeight="1" x14ac:dyDescent="0.15">
      <c r="B95" s="44" t="s">
        <v>2</v>
      </c>
      <c r="C95" s="19">
        <f>'[1]2015 - 2019'!S95+'[2]2015-2019'!S95</f>
        <v>3968385</v>
      </c>
      <c r="D95" s="19">
        <f>'[3]2015 - 2019'!T95+'[4]2015-2019'!T95</f>
        <v>3537577</v>
      </c>
      <c r="E95" s="19">
        <f>'[5]2015 - 2019'!U95+'[6]2015-2019'!U95</f>
        <v>4960171</v>
      </c>
      <c r="F95" s="19">
        <f>'[7]2015 - 2019'!V95+'[8]2015-2019'!V95</f>
        <v>3905081.8569999998</v>
      </c>
      <c r="G95" s="19">
        <f>'[9]2015 - 2019'!W95+'[10]2016-2021'!W95</f>
        <v>3948865.2792499997</v>
      </c>
      <c r="H95" s="19">
        <f>'[11]2016 - 2021'!X95+'[12]2016-2021'!X95</f>
        <v>3863193.3547999999</v>
      </c>
      <c r="I95" s="19">
        <f>'[13]2016 - 2021'!Y95+'[14]2016-2021'!Y95</f>
        <v>4265668.7609999999</v>
      </c>
      <c r="J95" s="19">
        <f>'[15]2016 - 2021'!Z95+'[16]2016-2021'!Z95</f>
        <v>3976023.2789499997</v>
      </c>
      <c r="K95" s="19">
        <f>'[17]2018 - 2022'!S95+'[18]2018-2022'!S95</f>
        <v>4659350.0593199991</v>
      </c>
      <c r="L95" s="19">
        <f>'[19]2018 - 2022'!T95+'[20]2018-2022'!T95</f>
        <v>3861458.2988799997</v>
      </c>
      <c r="M95" s="19">
        <f>'[21]2018 - 2022'!U95+'[22]2018-2022'!U95</f>
        <v>3928436.7074800003</v>
      </c>
      <c r="N95" s="19">
        <f>'[23]2018 - 2023'!V95+'[24]2018-2023'!V95</f>
        <v>4090053.7233600002</v>
      </c>
      <c r="O95" s="19">
        <f>'[23]2018 - 2023'!W95+'[24]2018-2023'!W95</f>
        <v>4368476.7424499998</v>
      </c>
      <c r="P95" s="19">
        <f>'[25]2018 - 2023'!X95+'[26]2018-2023'!X95</f>
        <v>4500193.4418700002</v>
      </c>
      <c r="Q95" s="19">
        <f>'[27]2018 - 2023'!Y95+'[28]2018-2023'!Y95</f>
        <v>5715239.3366899993</v>
      </c>
      <c r="R95" s="19">
        <f>'[29]2018 - 2023'!Z95+'[30]2018-2023'!Z95</f>
        <v>4625521.6458999999</v>
      </c>
      <c r="S95" s="19">
        <f>'[31]2020 - 2024'!S95+'[32]2020-2024'!S95</f>
        <v>4533648.7414199999</v>
      </c>
      <c r="T95" s="19">
        <f>'[33]2020 - 2024'!T95+'[34]2020-2024'!T95</f>
        <v>3799125.9885299997</v>
      </c>
      <c r="U95" s="19">
        <f>'[35]2020 - 2024'!U95+'[36]2020-2024'!U95</f>
        <v>3612773.8527099998</v>
      </c>
      <c r="V95" s="19">
        <f>'[37]2020 - 2024'!V95+'[38]2020-2024'!V95</f>
        <v>3221752.4101900002</v>
      </c>
      <c r="W95" s="19">
        <f>'[39]2020 - 2025'!W95+'[40]2020-2025'!W95</f>
        <v>2929302.59662</v>
      </c>
      <c r="X95" s="19">
        <f>'[41]2020 - 2025'!X95+'[42]2020-2025'!X95</f>
        <v>3056362.1972699999</v>
      </c>
      <c r="Y95" s="19">
        <f>'[43]2020 - 2025'!Y95+'[44]2020-2025'!Y95</f>
        <v>3703744.3117000004</v>
      </c>
      <c r="Z95" s="19">
        <f>'[45]2020 - 2025'!Z95+'[46]2020-2025'!Z95</f>
        <v>2874856.5821099998</v>
      </c>
      <c r="AA95" s="19">
        <f>'[47]2020 - 2026'!AA95+'[48]2020-2026'!AA95</f>
        <v>2804123.5041300002</v>
      </c>
    </row>
    <row r="96" spans="1:27" ht="15.95" customHeight="1" x14ac:dyDescent="0.15">
      <c r="B96" s="43" t="s">
        <v>11</v>
      </c>
      <c r="C96" s="19">
        <f>'[1]2015 - 2019'!S96+'[2]2015-2019'!S96</f>
        <v>16189302</v>
      </c>
      <c r="D96" s="19">
        <f>'[3]2015 - 2019'!T96+'[4]2015-2019'!T96</f>
        <v>15727230</v>
      </c>
      <c r="E96" s="19">
        <f>'[5]2015 - 2019'!U96+'[6]2015-2019'!U96</f>
        <v>17066185</v>
      </c>
      <c r="F96" s="19">
        <f>'[7]2015 - 2019'!V96+'[8]2015-2019'!V96</f>
        <v>17321548.215</v>
      </c>
      <c r="G96" s="19">
        <f>'[9]2015 - 2019'!W96+'[10]2016-2021'!W96</f>
        <v>17027581.972279999</v>
      </c>
      <c r="H96" s="19">
        <f>'[11]2016 - 2021'!X96+'[12]2016-2021'!X96</f>
        <v>18673615.231449999</v>
      </c>
      <c r="I96" s="19">
        <f>'[13]2016 - 2021'!Y96+'[14]2016-2021'!Y96</f>
        <v>18762233.160069998</v>
      </c>
      <c r="J96" s="19">
        <f>'[15]2016 - 2021'!Z96+'[16]2016-2021'!Z96</f>
        <v>18710380.800190002</v>
      </c>
      <c r="K96" s="19">
        <f>'[17]2018 - 2022'!S96+'[18]2018-2022'!S96</f>
        <v>19589395.279580001</v>
      </c>
      <c r="L96" s="19">
        <f>'[19]2018 - 2022'!T96+'[20]2018-2022'!T96</f>
        <v>18492689.340999998</v>
      </c>
      <c r="M96" s="19">
        <f>'[21]2018 - 2022'!U96+'[22]2018-2022'!U96</f>
        <v>17567738.321380001</v>
      </c>
      <c r="N96" s="19">
        <f>'[23]2018 - 2023'!V96+'[24]2018-2023'!V96</f>
        <v>17742362.566830002</v>
      </c>
      <c r="O96" s="19">
        <f>'[23]2018 - 2023'!W96+'[24]2018-2023'!W96</f>
        <v>18390447.22301</v>
      </c>
      <c r="P96" s="19">
        <f>'[25]2018 - 2023'!X96+'[26]2018-2023'!X96</f>
        <v>18096329.680350002</v>
      </c>
      <c r="Q96" s="19">
        <f>'[27]2018 - 2023'!Y96+'[28]2018-2023'!Y96</f>
        <v>19397512.399969999</v>
      </c>
      <c r="R96" s="19">
        <f>'[29]2018 - 2023'!Z96+'[30]2018-2023'!Z96</f>
        <v>18207397.208619997</v>
      </c>
      <c r="S96" s="19">
        <f>'[31]2020 - 2024'!S96+'[32]2020-2024'!S96</f>
        <v>18209272.000160001</v>
      </c>
      <c r="T96" s="19">
        <f>'[33]2020 - 2024'!T96+'[34]2020-2024'!T96</f>
        <v>17756095.05579</v>
      </c>
      <c r="U96" s="19">
        <f>'[35]2020 - 2024'!U96+'[36]2020-2024'!U96</f>
        <v>18681475.35509</v>
      </c>
      <c r="V96" s="19">
        <f>'[37]2020 - 2024'!V96+'[38]2020-2024'!V96</f>
        <v>17903562.938770004</v>
      </c>
      <c r="W96" s="19">
        <f>'[39]2020 - 2025'!W96+'[40]2020-2025'!W96</f>
        <v>18330044.549290001</v>
      </c>
      <c r="X96" s="19">
        <f>'[41]2020 - 2025'!X96+'[42]2020-2025'!X96</f>
        <v>18693146.945870001</v>
      </c>
      <c r="Y96" s="19">
        <f>'[43]2020 - 2025'!Y96+'[44]2020-2025'!Y96</f>
        <v>18278829.64325</v>
      </c>
      <c r="Z96" s="19">
        <f>'[45]2020 - 2025'!Z96+'[46]2020-2025'!Z96</f>
        <v>19321335.41463</v>
      </c>
      <c r="AA96" s="19">
        <f>'[47]2020 - 2026'!AA96+'[48]2020-2026'!AA96</f>
        <v>19131755.78785</v>
      </c>
    </row>
    <row r="97" spans="1:29" ht="15" customHeight="1" x14ac:dyDescent="0.15">
      <c r="B97" s="2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9" ht="15" customHeight="1" x14ac:dyDescent="0.15">
      <c r="A98" s="4">
        <v>8</v>
      </c>
      <c r="B98" s="43" t="s">
        <v>8</v>
      </c>
      <c r="C98" s="19">
        <f t="shared" ref="C98:H98" si="167">SUM(C99:C106)</f>
        <v>3509115</v>
      </c>
      <c r="D98" s="19">
        <f t="shared" si="167"/>
        <v>3654835</v>
      </c>
      <c r="E98" s="19">
        <f t="shared" si="167"/>
        <v>3810256</v>
      </c>
      <c r="F98" s="19">
        <f t="shared" si="167"/>
        <v>3896419.6820000005</v>
      </c>
      <c r="G98" s="19">
        <f t="shared" si="167"/>
        <v>4021718.4281500001</v>
      </c>
      <c r="H98" s="19">
        <f t="shared" si="167"/>
        <v>4503422.3656200003</v>
      </c>
      <c r="I98" s="19">
        <f t="shared" ref="I98:J98" si="168">SUM(I99:I106)</f>
        <v>4298981.4612499997</v>
      </c>
      <c r="J98" s="19">
        <f t="shared" si="168"/>
        <v>4440229.4516399996</v>
      </c>
      <c r="K98" s="19">
        <f t="shared" ref="K98:L98" si="169">SUM(K99:K106)</f>
        <v>4422946.5466900002</v>
      </c>
      <c r="L98" s="19">
        <f t="shared" si="169"/>
        <v>4676765.5083499998</v>
      </c>
      <c r="M98" s="19">
        <f t="shared" ref="M98" si="170">SUM(M99:M106)</f>
        <v>4440068.4573599994</v>
      </c>
      <c r="N98" s="19">
        <f t="shared" ref="N98:O98" si="171">SUM(N99:N106)</f>
        <v>4521264.0732100001</v>
      </c>
      <c r="O98" s="19">
        <f t="shared" si="171"/>
        <v>4122807.0765199997</v>
      </c>
      <c r="P98" s="19">
        <f t="shared" ref="P98:Q98" si="172">SUM(P99:P106)</f>
        <v>4108685.7421200001</v>
      </c>
      <c r="Q98" s="19">
        <f t="shared" si="172"/>
        <v>3783802.1025100001</v>
      </c>
      <c r="R98" s="19">
        <f t="shared" ref="R98:S98" si="173">SUM(R99:R106)</f>
        <v>4111035.3937900001</v>
      </c>
      <c r="S98" s="19">
        <f t="shared" si="173"/>
        <v>3955239.5370100001</v>
      </c>
      <c r="T98" s="19">
        <f t="shared" ref="T98:U98" si="174">SUM(T99:T106)</f>
        <v>3850579.1721999999</v>
      </c>
      <c r="U98" s="19">
        <f t="shared" si="174"/>
        <v>3787734.71691</v>
      </c>
      <c r="V98" s="19">
        <f t="shared" ref="V98" si="175">SUM(V99:V106)</f>
        <v>4091469.6856</v>
      </c>
      <c r="W98" s="19">
        <f>'[39]2020 - 2025'!W98+'[40]2020-2025'!W98</f>
        <v>4295316.4927099999</v>
      </c>
      <c r="X98" s="19">
        <f>'[41]2020 - 2025'!X98+'[42]2020-2025'!X98</f>
        <v>4019566.01138</v>
      </c>
      <c r="Y98" s="19">
        <f>'[43]2020 - 2025'!Y98+'[44]2020-2025'!Y98</f>
        <v>3738497.2711900002</v>
      </c>
      <c r="Z98" s="19">
        <f>'[45]2020 - 2025'!Z98+'[46]2020-2025'!Z98</f>
        <v>4313278.6451699995</v>
      </c>
      <c r="AA98" s="19">
        <f>'[47]2020 - 2026'!AA98+'[48]2020-2026'!AA98</f>
        <v>4409293.4029600006</v>
      </c>
    </row>
    <row r="99" spans="1:29" ht="15" customHeight="1" x14ac:dyDescent="0.15">
      <c r="B99" s="2" t="s">
        <v>3</v>
      </c>
      <c r="C99" s="32">
        <f>'[1]2015 - 2019'!S99+'[2]2015-2019'!S99</f>
        <v>31697</v>
      </c>
      <c r="D99" s="32">
        <f>'[3]2015 - 2019'!T99+'[4]2015-2019'!T99</f>
        <v>38015</v>
      </c>
      <c r="E99" s="32">
        <f>'[5]2015 - 2019'!U99+'[6]2015-2019'!U99</f>
        <v>58433</v>
      </c>
      <c r="F99" s="32">
        <f>'[7]2015 - 2019'!V99+'[8]2015-2019'!V99</f>
        <v>64627.432999999997</v>
      </c>
      <c r="G99" s="32">
        <f>'[9]2015 - 2019'!W99+'[10]2016-2021'!W99</f>
        <v>41048.390339999998</v>
      </c>
      <c r="H99" s="32">
        <f>'[11]2016 - 2021'!X99+'[12]2016-2021'!X99</f>
        <v>31314.808059999999</v>
      </c>
      <c r="I99" s="32">
        <f>'[13]2016 - 2021'!Y99+'[14]2016-2021'!Y99</f>
        <v>45966.815329999998</v>
      </c>
      <c r="J99" s="32">
        <f>'[15]2016 - 2021'!Z99+'[16]2016-2021'!Z99</f>
        <v>70617.477369999993</v>
      </c>
      <c r="K99" s="32">
        <f>'[17]2018 - 2022'!S99+'[18]2018-2022'!S99</f>
        <v>40681.28847</v>
      </c>
      <c r="L99" s="32">
        <f>'[19]2018 - 2022'!T99+'[20]2018-2022'!T99</f>
        <v>17247.131669999999</v>
      </c>
      <c r="M99" s="32">
        <f>'[21]2018 - 2022'!U99+'[22]2018-2022'!U99</f>
        <v>8757.0601800000004</v>
      </c>
      <c r="N99" s="32">
        <f>'[23]2018 - 2023'!V99+'[24]2018-2023'!V99</f>
        <v>13006.70995</v>
      </c>
      <c r="O99" s="32">
        <f>'[23]2018 - 2023'!W99+'[24]2018-2023'!W99</f>
        <v>5674.5570399999997</v>
      </c>
      <c r="P99" s="32">
        <f>'[25]2018 - 2023'!X99+'[26]2018-2023'!X99</f>
        <v>17342.730049999998</v>
      </c>
      <c r="Q99" s="32">
        <f>'[27]2018 - 2023'!Y99+'[28]2018-2023'!Y99</f>
        <v>3585.1928200000002</v>
      </c>
      <c r="R99" s="32">
        <f>'[29]2018 - 2023'!Z99+'[30]2018-2023'!Z99</f>
        <v>121817.09745</v>
      </c>
      <c r="S99" s="32">
        <f>'[31]2020 - 2024'!S99+'[32]2020-2024'!S99</f>
        <v>29191.631270000002</v>
      </c>
      <c r="T99" s="32">
        <f>'[33]2020 - 2024'!T99+'[34]2020-2024'!T99</f>
        <v>15679.80234</v>
      </c>
      <c r="U99" s="32">
        <f>'[35]2020 - 2024'!U99+'[36]2020-2024'!U99</f>
        <v>22953.68838</v>
      </c>
      <c r="V99" s="32">
        <f>'[37]2020 - 2024'!V99+'[38]2020-2024'!V99</f>
        <v>79076.959390000004</v>
      </c>
      <c r="W99" s="32">
        <f>'[39]2020 - 2025'!W99+'[40]2020-2025'!W99</f>
        <v>37472.348709999998</v>
      </c>
      <c r="X99" s="32">
        <f>'[41]2020 - 2025'!X99+'[42]2020-2025'!X99</f>
        <v>7556.9544100000003</v>
      </c>
      <c r="Y99" s="32">
        <f>'[43]2020 - 2025'!Y99+'[44]2020-2025'!Y99</f>
        <v>14176.47027</v>
      </c>
      <c r="Z99" s="32">
        <f>'[45]2020 - 2025'!Z99+'[46]2020-2025'!Z99</f>
        <v>5679.4527500000004</v>
      </c>
      <c r="AA99" s="32">
        <f>'[47]2020 - 2026'!AA99+'[48]2020-2026'!AA99</f>
        <v>10759.09678</v>
      </c>
    </row>
    <row r="100" spans="1:29" ht="15" customHeight="1" x14ac:dyDescent="0.15">
      <c r="B100" s="2" t="s">
        <v>21</v>
      </c>
      <c r="C100" s="32">
        <f>'[1]2015 - 2019'!S100+'[2]2015-2019'!S100</f>
        <v>140098</v>
      </c>
      <c r="D100" s="32">
        <f>'[3]2015 - 2019'!T100+'[4]2015-2019'!T100</f>
        <v>137776</v>
      </c>
      <c r="E100" s="32">
        <f>'[5]2015 - 2019'!U100+'[6]2015-2019'!U100</f>
        <v>131008</v>
      </c>
      <c r="F100" s="32">
        <f>'[7]2015 - 2019'!V100+'[8]2015-2019'!V100</f>
        <v>129190.621</v>
      </c>
      <c r="G100" s="32">
        <f>'[9]2015 - 2019'!W100+'[10]2016-2021'!W100</f>
        <v>122928.67402000001</v>
      </c>
      <c r="H100" s="32">
        <f>'[11]2016 - 2021'!X100+'[12]2016-2021'!X100</f>
        <v>155455.81946999999</v>
      </c>
      <c r="I100" s="32">
        <f>'[13]2016 - 2021'!Y100+'[14]2016-2021'!Y100</f>
        <v>134331.8432</v>
      </c>
      <c r="J100" s="32">
        <f>'[15]2016 - 2021'!Z100+'[16]2016-2021'!Z100</f>
        <v>131891.24554999999</v>
      </c>
      <c r="K100" s="32">
        <f>'[17]2018 - 2022'!S100+'[18]2018-2022'!S100</f>
        <v>154418.33184999999</v>
      </c>
      <c r="L100" s="32">
        <f>'[19]2018 - 2022'!T100+'[20]2018-2022'!T100</f>
        <v>170593.46765999999</v>
      </c>
      <c r="M100" s="32">
        <f>'[21]2018 - 2022'!U100+'[22]2018-2022'!U100</f>
        <v>178789.45861</v>
      </c>
      <c r="N100" s="32">
        <f>'[23]2018 - 2023'!V100+'[24]2018-2023'!V100</f>
        <v>153887.79590999999</v>
      </c>
      <c r="O100" s="32">
        <f>'[23]2018 - 2023'!W100+'[24]2018-2023'!W100</f>
        <v>161335.93531</v>
      </c>
      <c r="P100" s="32">
        <f>'[25]2018 - 2023'!X100+'[26]2018-2023'!X100</f>
        <v>168814.87215000001</v>
      </c>
      <c r="Q100" s="32">
        <f>'[27]2018 - 2023'!Y100+'[28]2018-2023'!Y100</f>
        <v>155957.41756999999</v>
      </c>
      <c r="R100" s="32">
        <f>'[29]2018 - 2023'!Z100+'[30]2018-2023'!Z100</f>
        <v>150049.20254</v>
      </c>
      <c r="S100" s="32">
        <f>'[31]2020 - 2024'!S100+'[32]2020-2024'!S100</f>
        <v>156801.46398</v>
      </c>
      <c r="T100" s="32">
        <f>'[33]2020 - 2024'!T100+'[34]2020-2024'!T100</f>
        <v>168569.50365</v>
      </c>
      <c r="U100" s="32">
        <f>'[35]2020 - 2024'!U100+'[36]2020-2024'!U100</f>
        <v>161872.30596999999</v>
      </c>
      <c r="V100" s="32">
        <f>'[37]2020 - 2024'!V100+'[38]2020-2024'!V100</f>
        <v>118618.72645</v>
      </c>
      <c r="W100" s="32">
        <f>'[39]2020 - 2025'!W100+'[40]2020-2025'!W100</f>
        <v>165065.65380999999</v>
      </c>
      <c r="X100" s="32">
        <f>'[41]2020 - 2025'!X100+'[42]2020-2025'!X100</f>
        <v>158569.09810999999</v>
      </c>
      <c r="Y100" s="32">
        <f>'[43]2020 - 2025'!Y100+'[44]2020-2025'!Y100</f>
        <v>161197.90463</v>
      </c>
      <c r="Z100" s="32">
        <f>'[45]2020 - 2025'!Z100+'[46]2020-2025'!Z100</f>
        <v>119612.23138</v>
      </c>
      <c r="AA100" s="32">
        <f>'[47]2020 - 2026'!AA100+'[48]2020-2026'!AA100</f>
        <v>121551.69086</v>
      </c>
    </row>
    <row r="101" spans="1:29" ht="15" customHeight="1" x14ac:dyDescent="0.15">
      <c r="B101" s="2" t="s">
        <v>19</v>
      </c>
      <c r="C101" s="32">
        <f>'[1]2015 - 2019'!S101+'[2]2015-2019'!S101</f>
        <v>1194560</v>
      </c>
      <c r="D101" s="32">
        <f>'[3]2015 - 2019'!T101+'[4]2015-2019'!T101</f>
        <v>1222152</v>
      </c>
      <c r="E101" s="32">
        <f>'[5]2015 - 2019'!U101+'[6]2015-2019'!U101</f>
        <v>1357965</v>
      </c>
      <c r="F101" s="32">
        <f>'[7]2015 - 2019'!V101+'[8]2015-2019'!V101</f>
        <v>1430405.2560000001</v>
      </c>
      <c r="G101" s="32">
        <f>'[9]2015 - 2019'!W101+'[10]2016-2021'!W101</f>
        <v>1548348.02202</v>
      </c>
      <c r="H101" s="32">
        <f>'[11]2016 - 2021'!X101+'[12]2016-2021'!X101</f>
        <v>1625196.8439100001</v>
      </c>
      <c r="I101" s="32">
        <f>'[13]2016 - 2021'!Y101+'[14]2016-2021'!Y101</f>
        <v>1706838.4327100001</v>
      </c>
      <c r="J101" s="32">
        <f>'[15]2016 - 2021'!Z101+'[16]2016-2021'!Z101</f>
        <v>1684814.01675</v>
      </c>
      <c r="K101" s="32">
        <f>'[17]2018 - 2022'!S101+'[18]2018-2022'!S101</f>
        <v>1762092.40068</v>
      </c>
      <c r="L101" s="32">
        <f>'[19]2018 - 2022'!T101+'[20]2018-2022'!T101</f>
        <v>1758848.80581</v>
      </c>
      <c r="M101" s="32">
        <f>'[21]2018 - 2022'!U101+'[22]2018-2022'!U101</f>
        <v>1580961.2998200001</v>
      </c>
      <c r="N101" s="32">
        <f>'[23]2018 - 2023'!V101+'[24]2018-2023'!V101</f>
        <v>1835679.8994700001</v>
      </c>
      <c r="O101" s="32">
        <f>'[23]2018 - 2023'!W101+'[24]2018-2023'!W101</f>
        <v>1553235.7877100001</v>
      </c>
      <c r="P101" s="32">
        <f>'[25]2018 - 2023'!X101+'[26]2018-2023'!X101</f>
        <v>1496444.6855299999</v>
      </c>
      <c r="Q101" s="32">
        <f>'[27]2018 - 2023'!Y101+'[28]2018-2023'!Y101</f>
        <v>1416432.8635499999</v>
      </c>
      <c r="R101" s="32">
        <f>'[29]2018 - 2023'!Z101+'[30]2018-2023'!Z101</f>
        <v>1548681.22535</v>
      </c>
      <c r="S101" s="32">
        <f>'[31]2020 - 2024'!S101+'[32]2020-2024'!S101</f>
        <v>1505797.71845</v>
      </c>
      <c r="T101" s="32">
        <f>'[33]2020 - 2024'!T101+'[34]2020-2024'!T101</f>
        <v>1307243.3908899999</v>
      </c>
      <c r="U101" s="32">
        <f>'[35]2020 - 2024'!U101+'[36]2020-2024'!U101</f>
        <v>1351498.68671</v>
      </c>
      <c r="V101" s="32">
        <f>'[37]2020 - 2024'!V101+'[38]2020-2024'!V101</f>
        <v>1577816.9115200001</v>
      </c>
      <c r="W101" s="32">
        <f>'[39]2020 - 2025'!W101+'[40]2020-2025'!W101</f>
        <v>1465915.97379</v>
      </c>
      <c r="X101" s="32">
        <f>'[41]2020 - 2025'!X101+'[42]2020-2025'!X101</f>
        <v>1452250.8829700002</v>
      </c>
      <c r="Y101" s="32">
        <f>'[43]2020 - 2025'!Y101+'[44]2020-2025'!Y101</f>
        <v>1453861.17487</v>
      </c>
      <c r="Z101" s="32">
        <f>'[45]2020 - 2025'!Z101+'[46]2020-2025'!Z101</f>
        <v>2002084.15013</v>
      </c>
      <c r="AA101" s="32">
        <f>'[47]2020 - 2026'!AA101+'[48]2020-2026'!AA101</f>
        <v>2267028.3220799998</v>
      </c>
    </row>
    <row r="102" spans="1:29" ht="15" customHeight="1" x14ac:dyDescent="0.15">
      <c r="B102" s="2" t="s">
        <v>12</v>
      </c>
      <c r="C102" s="32">
        <f>'[1]2015 - 2019'!S102+'[2]2015-2019'!S102</f>
        <v>6</v>
      </c>
      <c r="D102" s="32">
        <f>'[3]2015 - 2019'!T102+'[4]2015-2019'!T102</f>
        <v>6</v>
      </c>
      <c r="E102" s="32">
        <f>'[5]2015 - 2019'!U102+'[6]2015-2019'!U102</f>
        <v>6</v>
      </c>
      <c r="F102" s="32">
        <f>'[7]2015 - 2019'!V102+'[8]2015-2019'!V102</f>
        <v>6</v>
      </c>
      <c r="G102" s="32">
        <f>'[9]2015 - 2019'!W102+'[10]2016-2021'!W102</f>
        <v>6</v>
      </c>
      <c r="H102" s="32">
        <f>'[11]2016 - 2021'!X102+'[12]2016-2021'!X102</f>
        <v>2940</v>
      </c>
      <c r="I102" s="32">
        <f>'[13]2016 - 2021'!Y102+'[14]2016-2021'!Y102</f>
        <v>5.8869999999999996</v>
      </c>
      <c r="J102" s="32">
        <f>'[15]2016 - 2021'!Z102+'[16]2016-2021'!Z102</f>
        <v>5.8979999999999997</v>
      </c>
      <c r="K102" s="32">
        <f>'[17]2018 - 2022'!S102+'[18]2018-2022'!S102</f>
        <v>6</v>
      </c>
      <c r="L102" s="32">
        <f>'[19]2018 - 2022'!T102+'[20]2018-2022'!T102</f>
        <v>6</v>
      </c>
      <c r="M102" s="32">
        <f>'[21]2018 - 2022'!U102+'[22]2018-2022'!U102</f>
        <v>6</v>
      </c>
      <c r="N102" s="32">
        <f>'[23]2018 - 2023'!V102+'[24]2018-2023'!V102</f>
        <v>5.9649000000000001</v>
      </c>
      <c r="O102" s="32">
        <f>'[23]2018 - 2023'!W102+'[24]2018-2023'!W102</f>
        <v>6</v>
      </c>
      <c r="P102" s="32">
        <f>'[25]2018 - 2023'!X102+'[26]2018-2023'!X102</f>
        <v>6</v>
      </c>
      <c r="Q102" s="32">
        <f>'[27]2018 - 2023'!Y102+'[28]2018-2023'!Y102</f>
        <v>5.9744999999999999</v>
      </c>
      <c r="R102" s="32">
        <f>'[29]2018 - 2023'!Z102+'[30]2018-2023'!Z102</f>
        <v>12.287660000000001</v>
      </c>
      <c r="S102" s="32">
        <f>'[31]2020 - 2024'!S102+'[32]2020-2024'!S102</f>
        <v>6.0076200000000002</v>
      </c>
      <c r="T102" s="32">
        <f>'[33]2020 - 2024'!T102+'[34]2020-2024'!T102</f>
        <v>5.9753999999999996</v>
      </c>
      <c r="U102" s="32">
        <f>'[35]2020 - 2024'!U102+'[36]2020-2024'!U102</f>
        <v>44.753630000000001</v>
      </c>
      <c r="V102" s="32">
        <f>'[37]2020 - 2024'!V102+'[38]2020-2024'!V102</f>
        <v>47.820360000000001</v>
      </c>
      <c r="W102" s="32">
        <f>'[39]2020 - 2025'!W102+'[40]2020-2025'!W102</f>
        <v>20.5457</v>
      </c>
      <c r="X102" s="32">
        <f>'[41]2020 - 2025'!X102+'[42]2020-2025'!X102</f>
        <v>40.458840000000002</v>
      </c>
      <c r="Y102" s="32">
        <f>'[43]2020 - 2025'!Y102+'[44]2020-2025'!Y102</f>
        <v>30.211369999999999</v>
      </c>
      <c r="Z102" s="32">
        <f>'[45]2020 - 2025'!Z102+'[46]2020-2025'!Z102</f>
        <v>52.660850000000003</v>
      </c>
      <c r="AA102" s="32">
        <f>'[47]2020 - 2026'!AA102+'[48]2020-2026'!AA102</f>
        <v>23.875209999999999</v>
      </c>
    </row>
    <row r="103" spans="1:29" ht="15" customHeight="1" x14ac:dyDescent="0.15">
      <c r="B103" s="2" t="s">
        <v>25</v>
      </c>
      <c r="C103" s="32">
        <f>'[1]2015 - 2019'!S103+'[2]2015-2019'!S103</f>
        <v>128650</v>
      </c>
      <c r="D103" s="32">
        <f>'[3]2015 - 2019'!T103+'[4]2015-2019'!T103</f>
        <v>51967</v>
      </c>
      <c r="E103" s="32">
        <f>'[5]2015 - 2019'!U103+'[6]2015-2019'!U103</f>
        <v>26527</v>
      </c>
      <c r="F103" s="32">
        <f>'[7]2015 - 2019'!V103+'[8]2015-2019'!V103</f>
        <v>28288.986000000001</v>
      </c>
      <c r="G103" s="32">
        <f>'[9]2015 - 2019'!W103+'[10]2016-2021'!W103</f>
        <v>53028.853109999996</v>
      </c>
      <c r="H103" s="32">
        <f>'[11]2016 - 2021'!X103+'[12]2016-2021'!X103</f>
        <v>51414.119449999998</v>
      </c>
      <c r="I103" s="32">
        <f>'[13]2016 - 2021'!Y103+'[14]2016-2021'!Y103</f>
        <v>47658.737550000005</v>
      </c>
      <c r="J103" s="32">
        <f>'[15]2016 - 2021'!Z103+'[16]2016-2021'!Z103</f>
        <v>64068.510049999997</v>
      </c>
      <c r="K103" s="32">
        <f>'[17]2018 - 2022'!S103+'[18]2018-2022'!S103</f>
        <v>37069.346709999998</v>
      </c>
      <c r="L103" s="32">
        <f>'[19]2018 - 2022'!T103+'[20]2018-2022'!T103</f>
        <v>33388.014380000001</v>
      </c>
      <c r="M103" s="32">
        <f>'[21]2018 - 2022'!U103+'[22]2018-2022'!U103</f>
        <v>65514.320350000002</v>
      </c>
      <c r="N103" s="32">
        <f>'[23]2018 - 2023'!V103+'[24]2018-2023'!V103</f>
        <v>26733.969160000001</v>
      </c>
      <c r="O103" s="32">
        <f>'[23]2018 - 2023'!W103+'[24]2018-2023'!W103</f>
        <v>28763.8537</v>
      </c>
      <c r="P103" s="32">
        <f>'[25]2018 - 2023'!X103+'[26]2018-2023'!X103</f>
        <v>15391.73934</v>
      </c>
      <c r="Q103" s="32">
        <f>'[27]2018 - 2023'!Y103+'[28]2018-2023'!Y103</f>
        <v>16083.18368</v>
      </c>
      <c r="R103" s="32">
        <f>'[29]2018 - 2023'!Z103+'[30]2018-2023'!Z103</f>
        <v>25472.121489999998</v>
      </c>
      <c r="S103" s="32">
        <f>'[31]2020 - 2024'!S103+'[32]2020-2024'!S103</f>
        <v>32202.574370000002</v>
      </c>
      <c r="T103" s="32">
        <f>'[33]2020 - 2024'!T103+'[34]2020-2024'!T103</f>
        <v>57910.88063</v>
      </c>
      <c r="U103" s="32">
        <f>'[35]2020 - 2024'!U103+'[36]2020-2024'!U103</f>
        <v>47898.698839999997</v>
      </c>
      <c r="V103" s="32">
        <f>'[37]2020 - 2024'!V103+'[38]2020-2024'!V103</f>
        <v>42023.95594</v>
      </c>
      <c r="W103" s="32">
        <f>'[39]2020 - 2025'!W103+'[40]2020-2025'!W103</f>
        <v>56320.103159999999</v>
      </c>
      <c r="X103" s="32">
        <f>'[41]2020 - 2025'!X103+'[42]2020-2025'!X103</f>
        <v>43266.489480000004</v>
      </c>
      <c r="Y103" s="32">
        <f>'[43]2020 - 2025'!Y103+'[44]2020-2025'!Y103</f>
        <v>48623.564979999996</v>
      </c>
      <c r="Z103" s="32">
        <f>'[45]2020 - 2025'!Z103+'[46]2020-2025'!Z103</f>
        <v>58257.042909999996</v>
      </c>
      <c r="AA103" s="32">
        <f>'[47]2020 - 2026'!AA103+'[48]2020-2026'!AA103</f>
        <v>58735.906030000006</v>
      </c>
    </row>
    <row r="104" spans="1:29" ht="15" customHeight="1" x14ac:dyDescent="0.15">
      <c r="B104" s="2" t="s">
        <v>46</v>
      </c>
      <c r="C104" s="32">
        <f>'[1]2015 - 2019'!S104+'[2]2015-2019'!S104</f>
        <v>75620</v>
      </c>
      <c r="D104" s="32">
        <f>'[3]2015 - 2019'!T104+'[4]2015-2019'!T104</f>
        <v>49639</v>
      </c>
      <c r="E104" s="32">
        <f>'[5]2015 - 2019'!U104+'[6]2015-2019'!U104</f>
        <v>50129</v>
      </c>
      <c r="F104" s="32">
        <f>'[7]2015 - 2019'!V104+'[8]2015-2019'!V104</f>
        <v>50612.762999999999</v>
      </c>
      <c r="G104" s="32">
        <f>'[9]2015 - 2019'!W104+'[10]2016-2021'!W104</f>
        <v>52000.138279999999</v>
      </c>
      <c r="H104" s="32">
        <f>'[11]2016 - 2021'!X104+'[12]2016-2021'!X104</f>
        <v>58729.392140000004</v>
      </c>
      <c r="I104" s="32">
        <f>'[13]2016 - 2021'!Y104+'[14]2016-2021'!Y104</f>
        <v>60249.540609999996</v>
      </c>
      <c r="J104" s="32">
        <f>'[15]2016 - 2021'!Z104+'[16]2016-2021'!Z104</f>
        <v>63934.729789999998</v>
      </c>
      <c r="K104" s="32">
        <f>'[17]2018 - 2022'!S104+'[18]2018-2022'!S104</f>
        <v>86790.251049999992</v>
      </c>
      <c r="L104" s="32">
        <f>'[19]2018 - 2022'!T104+'[20]2018-2022'!T104</f>
        <v>85586.405640000012</v>
      </c>
      <c r="M104" s="32">
        <f>'[21]2018 - 2022'!U104+'[22]2018-2022'!U104</f>
        <v>90107.635859999995</v>
      </c>
      <c r="N104" s="32">
        <f>'[23]2018 - 2023'!V104+'[24]2018-2023'!V104</f>
        <v>91233.826209999999</v>
      </c>
      <c r="O104" s="32">
        <f>'[23]2018 - 2023'!W104+'[24]2018-2023'!W104</f>
        <v>95223.307570000004</v>
      </c>
      <c r="P104" s="32">
        <f>'[25]2018 - 2023'!X104+'[26]2018-2023'!X104</f>
        <v>99022.625690000001</v>
      </c>
      <c r="Q104" s="32">
        <f>'[27]2018 - 2023'!Y104+'[28]2018-2023'!Y104</f>
        <v>104937.77055</v>
      </c>
      <c r="R104" s="32">
        <f>'[29]2018 - 2023'!Z104+'[30]2018-2023'!Z104</f>
        <v>118854.9114</v>
      </c>
      <c r="S104" s="32">
        <f>'[31]2020 - 2024'!S104+'[32]2020-2024'!S104</f>
        <v>114748.04844</v>
      </c>
      <c r="T104" s="32">
        <f>'[33]2020 - 2024'!T104+'[34]2020-2024'!T104</f>
        <v>75441.189910000001</v>
      </c>
      <c r="U104" s="32">
        <f>'[35]2020 - 2024'!U104+'[36]2020-2024'!U104</f>
        <v>32068.556960000002</v>
      </c>
      <c r="V104" s="32">
        <f>'[37]2020 - 2024'!V104+'[38]2020-2024'!V104</f>
        <v>35319.160510000002</v>
      </c>
      <c r="W104" s="32">
        <f>'[39]2020 - 2025'!W104+'[40]2020-2025'!W104</f>
        <v>25460.47854</v>
      </c>
      <c r="X104" s="32">
        <f>'[41]2020 - 2025'!X104+'[42]2020-2025'!X104</f>
        <v>32994.81</v>
      </c>
      <c r="Y104" s="32">
        <f>'[43]2020 - 2025'!Y104+'[44]2020-2025'!Y104</f>
        <v>35447.621859999999</v>
      </c>
      <c r="Z104" s="32">
        <f>'[45]2020 - 2025'!Z104+'[46]2020-2025'!Z104</f>
        <v>44593.388189999998</v>
      </c>
      <c r="AA104" s="32">
        <f>'[47]2020 - 2026'!AA104+'[48]2020-2026'!AA104</f>
        <v>28595.44831</v>
      </c>
    </row>
    <row r="105" spans="1:29" ht="15" customHeight="1" x14ac:dyDescent="0.15">
      <c r="B105" s="12" t="s">
        <v>64</v>
      </c>
      <c r="C105" s="32">
        <f>'[1]2015 - 2019'!S105+'[2]2015-2019'!S105</f>
        <v>1462966</v>
      </c>
      <c r="D105" s="32">
        <f>'[3]2015 - 2019'!T105+'[4]2015-2019'!T105</f>
        <v>1673542</v>
      </c>
      <c r="E105" s="32">
        <f>'[5]2015 - 2019'!U105+'[6]2015-2019'!U105</f>
        <v>1678788</v>
      </c>
      <c r="F105" s="32">
        <f>'[7]2015 - 2019'!V105+'[8]2015-2019'!V105</f>
        <v>1665678.1880000001</v>
      </c>
      <c r="G105" s="32">
        <f>'[9]2015 - 2019'!W105+'[10]2016-2021'!W105</f>
        <v>1628259.2576300001</v>
      </c>
      <c r="H105" s="32">
        <f>'[11]2016 - 2021'!X105+'[12]2016-2021'!X105</f>
        <v>2016927.0714400001</v>
      </c>
      <c r="I105" s="32">
        <f>'[13]2016 - 2021'!Y105+'[14]2016-2021'!Y105</f>
        <v>1710552.3724199999</v>
      </c>
      <c r="J105" s="32">
        <f>'[15]2016 - 2021'!Z105+'[16]2016-2021'!Z105</f>
        <v>1807302.40252</v>
      </c>
      <c r="K105" s="32">
        <f>'[17]2018 - 2022'!S105+'[18]2018-2022'!S105</f>
        <v>1703623.3041900001</v>
      </c>
      <c r="L105" s="32">
        <f>'[19]2018 - 2022'!T105+'[20]2018-2022'!T105</f>
        <v>1969205.0737399999</v>
      </c>
      <c r="M105" s="32">
        <f>'[21]2018 - 2022'!U105+'[22]2018-2022'!U105</f>
        <v>1947852.38105</v>
      </c>
      <c r="N105" s="32">
        <f>'[23]2018 - 2023'!V105+'[24]2018-2023'!V105</f>
        <v>1832356.8422700001</v>
      </c>
      <c r="O105" s="32">
        <f>'[23]2018 - 2023'!W105+'[24]2018-2023'!W105</f>
        <v>1738045.7019499999</v>
      </c>
      <c r="P105" s="32">
        <f>'[25]2018 - 2023'!X105+'[26]2018-2023'!X105</f>
        <v>1777747.8595499999</v>
      </c>
      <c r="Q105" s="32">
        <f>'[27]2018 - 2023'!Y105+'[28]2018-2023'!Y105</f>
        <v>1613677.14038</v>
      </c>
      <c r="R105" s="32">
        <f>'[29]2018 - 2023'!Z105+'[30]2018-2023'!Z105</f>
        <v>1637691.8467699999</v>
      </c>
      <c r="S105" s="32">
        <f>'[31]2020 - 2024'!S105+'[32]2020-2024'!S105</f>
        <v>1600761.4550999999</v>
      </c>
      <c r="T105" s="32">
        <f>'[33]2020 - 2024'!T105+'[34]2020-2024'!T105</f>
        <v>1709171.6620799999</v>
      </c>
      <c r="U105" s="32">
        <f>'[35]2020 - 2024'!U105+'[36]2020-2024'!U105</f>
        <v>1649803.3918599999</v>
      </c>
      <c r="V105" s="32">
        <f>'[37]2020 - 2024'!V105+'[38]2020-2024'!V105</f>
        <v>1744517.83225</v>
      </c>
      <c r="W105" s="32">
        <f>'[39]2020 - 2025'!W105+'[40]2020-2025'!W105</f>
        <v>2012800.83571</v>
      </c>
      <c r="X105" s="32">
        <f>'[41]2020 - 2025'!X105+'[42]2020-2025'!X105</f>
        <v>1811301.4114600001</v>
      </c>
      <c r="Y105" s="32">
        <f>'[43]2020 - 2025'!Y105+'[44]2020-2025'!Y105</f>
        <v>1524722.6069100001</v>
      </c>
      <c r="Z105" s="32">
        <f>'[45]2020 - 2025'!Z105+'[46]2020-2025'!Z105</f>
        <v>1538184.36738</v>
      </c>
      <c r="AA105" s="32">
        <f>'[47]2020 - 2026'!AA105+'[48]2020-2026'!AA105</f>
        <v>1390739.9300500001</v>
      </c>
    </row>
    <row r="106" spans="1:29" ht="15" customHeight="1" x14ac:dyDescent="0.15">
      <c r="B106" s="2" t="s">
        <v>88</v>
      </c>
      <c r="C106" s="32">
        <f>'[1]2015 - 2019'!S106+'[2]2015-2019'!S106</f>
        <v>475518</v>
      </c>
      <c r="D106" s="32">
        <f>'[3]2015 - 2019'!T106+'[4]2015-2019'!T106</f>
        <v>481738</v>
      </c>
      <c r="E106" s="32">
        <f>'[5]2015 - 2019'!U106+'[6]2015-2019'!U106</f>
        <v>507400</v>
      </c>
      <c r="F106" s="32">
        <f>'[7]2015 - 2019'!V106+'[8]2015-2019'!V106</f>
        <v>527610.43500000006</v>
      </c>
      <c r="G106" s="32">
        <f>'[9]2015 - 2019'!W106+'[10]2016-2021'!W106</f>
        <v>576099.09274999995</v>
      </c>
      <c r="H106" s="32">
        <f>'[11]2016 - 2021'!X106+'[12]2016-2021'!X106</f>
        <v>561444.31114999996</v>
      </c>
      <c r="I106" s="32">
        <f>'[13]2016 - 2021'!Y106+'[14]2016-2021'!Y106</f>
        <v>593377.83242999995</v>
      </c>
      <c r="J106" s="32">
        <f>'[15]2016 - 2021'!Z106+'[16]2016-2021'!Z106</f>
        <v>617595.17160999996</v>
      </c>
      <c r="K106" s="32">
        <f>'[17]2018 - 2022'!S106+'[18]2018-2022'!S106</f>
        <v>638265.62373999995</v>
      </c>
      <c r="L106" s="32">
        <f>'[19]2018 - 2022'!T106+'[20]2018-2022'!T106</f>
        <v>641890.60944999999</v>
      </c>
      <c r="M106" s="32">
        <f>'[21]2018 - 2022'!U106+'[22]2018-2022'!U106</f>
        <v>568080.30148999998</v>
      </c>
      <c r="N106" s="32">
        <f>'[23]2018 - 2023'!V106+'[24]2018-2023'!V106</f>
        <v>568359.06534000009</v>
      </c>
      <c r="O106" s="32">
        <f>'[23]2018 - 2023'!W106+'[24]2018-2023'!W106</f>
        <v>540521.93323999993</v>
      </c>
      <c r="P106" s="32">
        <f>'[25]2018 - 2023'!X106+'[26]2018-2023'!X106</f>
        <v>533915.22981000005</v>
      </c>
      <c r="Q106" s="32">
        <f>'[27]2018 - 2023'!Y106+'[28]2018-2023'!Y106</f>
        <v>473122.55946000002</v>
      </c>
      <c r="R106" s="32">
        <f>'[29]2018 - 2023'!Z106+'[30]2018-2023'!Z106</f>
        <v>508456.70113</v>
      </c>
      <c r="S106" s="32">
        <f>'[31]2020 - 2024'!S106+'[32]2020-2024'!S106</f>
        <v>515730.63777999999</v>
      </c>
      <c r="T106" s="32">
        <f>'[33]2020 - 2024'!T106+'[34]2020-2024'!T106</f>
        <v>516556.76730000001</v>
      </c>
      <c r="U106" s="32">
        <f>'[35]2020 - 2024'!U106+'[36]2020-2024'!U106</f>
        <v>521594.63455999998</v>
      </c>
      <c r="V106" s="32">
        <f>'[37]2020 - 2024'!V106+'[38]2020-2024'!V106</f>
        <v>494048.31917999999</v>
      </c>
      <c r="W106" s="32">
        <f>'[39]2020 - 2025'!W106+'[40]2020-2025'!W106</f>
        <v>532260.55329000007</v>
      </c>
      <c r="X106" s="32">
        <f>'[41]2020 - 2025'!X106+'[42]2020-2025'!X106</f>
        <v>513585.90610999998</v>
      </c>
      <c r="Y106" s="32">
        <f>'[43]2020 - 2025'!Y106+'[44]2020-2025'!Y106</f>
        <v>500437.71629999997</v>
      </c>
      <c r="Z106" s="32">
        <f>'[45]2020 - 2025'!Z106+'[46]2020-2025'!Z106</f>
        <v>544815.3515799999</v>
      </c>
      <c r="AA106" s="32">
        <f>'[47]2020 - 2026'!AA106+'[48]2020-2026'!AA106</f>
        <v>531859.13364000001</v>
      </c>
    </row>
    <row r="107" spans="1:29" ht="15" customHeight="1" x14ac:dyDescent="0.1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9" ht="15" customHeight="1" x14ac:dyDescent="0.15">
      <c r="A108" s="4">
        <v>9</v>
      </c>
      <c r="B108" s="43" t="s">
        <v>9</v>
      </c>
      <c r="C108" s="19">
        <f t="shared" ref="C108:H108" si="176">SUM(C109:C116)</f>
        <v>6215615</v>
      </c>
      <c r="D108" s="19">
        <f t="shared" si="176"/>
        <v>6099066</v>
      </c>
      <c r="E108" s="19">
        <f t="shared" si="176"/>
        <v>6162136</v>
      </c>
      <c r="F108" s="19">
        <f t="shared" si="176"/>
        <v>7411954.8099999996</v>
      </c>
      <c r="G108" s="19">
        <f t="shared" si="176"/>
        <v>6823377.8896699995</v>
      </c>
      <c r="H108" s="19">
        <f t="shared" si="176"/>
        <v>8214296.7053700006</v>
      </c>
      <c r="I108" s="19">
        <f t="shared" ref="I108:J108" si="177">SUM(I109:I116)</f>
        <v>8214328.3959299996</v>
      </c>
      <c r="J108" s="19">
        <f t="shared" si="177"/>
        <v>8382355.0531700011</v>
      </c>
      <c r="K108" s="19">
        <f t="shared" ref="K108:L108" si="178">SUM(K109:K116)</f>
        <v>8506316.26633</v>
      </c>
      <c r="L108" s="19">
        <f t="shared" si="178"/>
        <v>7856277.1756199999</v>
      </c>
      <c r="M108" s="19">
        <f t="shared" ref="M108" si="179">SUM(M109:M116)</f>
        <v>7333227.7115100008</v>
      </c>
      <c r="N108" s="19">
        <f t="shared" ref="N108:O108" si="180">SUM(N109:N116)</f>
        <v>7060732.2940800004</v>
      </c>
      <c r="O108" s="19">
        <f t="shared" si="180"/>
        <v>7599959.5669300007</v>
      </c>
      <c r="P108" s="19">
        <f t="shared" ref="P108:Q108" si="181">SUM(P109:P116)</f>
        <v>6842013.1693200003</v>
      </c>
      <c r="Q108" s="19">
        <f t="shared" si="181"/>
        <v>6557688.4622099996</v>
      </c>
      <c r="R108" s="19">
        <f t="shared" ref="R108:S108" si="182">SUM(R109:R116)</f>
        <v>6590122.46471</v>
      </c>
      <c r="S108" s="19">
        <f t="shared" si="182"/>
        <v>6620706.6160999993</v>
      </c>
      <c r="T108" s="19">
        <f t="shared" ref="T108:U108" si="183">SUM(T109:T116)</f>
        <v>6928741.8989800001</v>
      </c>
      <c r="U108" s="19">
        <f t="shared" si="183"/>
        <v>8083838.7165900003</v>
      </c>
      <c r="V108" s="19">
        <f t="shared" ref="V108" si="184">SUM(V109:V116)</f>
        <v>7247970.5662900005</v>
      </c>
      <c r="W108" s="19">
        <f>'[39]2020 - 2025'!W108+'[40]2020-2025'!W108</f>
        <v>7563149.8720900007</v>
      </c>
      <c r="X108" s="19">
        <f>'[41]2020 - 2025'!X108+'[42]2020-2025'!X108</f>
        <v>8143675.8505999986</v>
      </c>
      <c r="Y108" s="19">
        <f>'[43]2020 - 2025'!Y108+'[44]2020-2025'!Y108</f>
        <v>7447514.6421799995</v>
      </c>
      <c r="Z108" s="19">
        <f>'[45]2020 - 2025'!Z108+'[46]2020-2025'!Z108</f>
        <v>8195071.0350599997</v>
      </c>
      <c r="AA108" s="19">
        <f>'[47]2020 - 2026'!AA108+'[48]2020-2026'!AA108</f>
        <v>8058195.1411199998</v>
      </c>
    </row>
    <row r="109" spans="1:29" ht="15" customHeight="1" x14ac:dyDescent="0.15">
      <c r="B109" s="2" t="s">
        <v>3</v>
      </c>
      <c r="C109" s="32">
        <f>'[1]2015 - 2019'!S109+'[2]2015-2019'!S109</f>
        <v>8095</v>
      </c>
      <c r="D109" s="32">
        <f>'[3]2015 - 2019'!T109+'[4]2015-2019'!T109</f>
        <v>42</v>
      </c>
      <c r="E109" s="32">
        <f>'[5]2015 - 2019'!U109+'[6]2015-2019'!U109</f>
        <v>20</v>
      </c>
      <c r="F109" s="32">
        <f>'[7]2015 - 2019'!V109+'[8]2015-2019'!V109</f>
        <v>35.764000000000003</v>
      </c>
      <c r="G109" s="32">
        <f>'[9]2015 - 2019'!W109+'[10]2016-2021'!W109</f>
        <v>49.455159999999999</v>
      </c>
      <c r="H109" s="32">
        <f>'[11]2016 - 2021'!X109+'[12]2016-2021'!X109</f>
        <v>734.16966000000002</v>
      </c>
      <c r="I109" s="32">
        <f>'[13]2016 - 2021'!Y109+'[14]2016-2021'!Y109</f>
        <v>869.27436</v>
      </c>
      <c r="J109" s="32">
        <f>'[15]2016 - 2021'!Z109+'[16]2016-2021'!Z109</f>
        <v>320.62484999999998</v>
      </c>
      <c r="K109" s="32">
        <f>'[17]2018 - 2022'!S109+'[18]2018-2022'!S109</f>
        <v>888.17621999999994</v>
      </c>
      <c r="L109" s="32">
        <f>'[19]2018 - 2022'!T109+'[20]2018-2022'!T109</f>
        <v>1232.0648100000001</v>
      </c>
      <c r="M109" s="32">
        <f>'[21]2018 - 2022'!U109+'[22]2018-2022'!U109</f>
        <v>1176.1445900000001</v>
      </c>
      <c r="N109" s="32">
        <f>'[23]2018 - 2023'!V109+'[24]2018-2023'!V109</f>
        <v>6278.9618799999998</v>
      </c>
      <c r="O109" s="32">
        <f>'[23]2018 - 2023'!W109+'[24]2018-2023'!W109</f>
        <v>7406.9768000000004</v>
      </c>
      <c r="P109" s="32">
        <f>'[25]2018 - 2023'!X109+'[26]2018-2023'!X109</f>
        <v>2138.4170199999999</v>
      </c>
      <c r="Q109" s="32">
        <f>'[27]2018 - 2023'!Y109+'[28]2018-2023'!Y109</f>
        <v>714.87129000000004</v>
      </c>
      <c r="R109" s="32">
        <f>'[29]2018 - 2023'!Z109+'[30]2018-2023'!Z109</f>
        <v>2425.9385000000002</v>
      </c>
      <c r="S109" s="32">
        <f>'[31]2020 - 2024'!S109+'[32]2020-2024'!S109</f>
        <v>1731.27568</v>
      </c>
      <c r="T109" s="32">
        <f>'[33]2020 - 2024'!T109+'[34]2020-2024'!T109</f>
        <v>960.77701999999999</v>
      </c>
      <c r="U109" s="32">
        <f>'[35]2020 - 2024'!U109+'[36]2020-2024'!U109</f>
        <v>1398.01214</v>
      </c>
      <c r="V109" s="32">
        <f>'[37]2020 - 2024'!V109+'[38]2020-2024'!V109</f>
        <v>1477.5751</v>
      </c>
      <c r="W109" s="32">
        <f>'[39]2020 - 2025'!W109+'[40]2020-2025'!W109</f>
        <v>2237.0499199999999</v>
      </c>
      <c r="X109" s="32">
        <f>'[41]2020 - 2025'!X109+'[42]2020-2025'!X109</f>
        <v>1050.2909199999999</v>
      </c>
      <c r="Y109" s="32">
        <f>'[43]2020 - 2025'!Y109+'[44]2020-2025'!Y109</f>
        <v>1751.4282900000001</v>
      </c>
      <c r="Z109" s="32">
        <f>'[45]2020 - 2025'!Z109+'[46]2020-2025'!Z109</f>
        <v>997.99834999999996</v>
      </c>
      <c r="AA109" s="32">
        <f>'[47]2020 - 2026'!AA109+'[48]2020-2026'!AA109</f>
        <v>1839.4701700000001</v>
      </c>
      <c r="AB109" s="32"/>
      <c r="AC109" s="32"/>
    </row>
    <row r="110" spans="1:29" ht="15" customHeight="1" x14ac:dyDescent="0.15">
      <c r="B110" s="2" t="s">
        <v>21</v>
      </c>
      <c r="C110" s="32">
        <f>'[1]2015 - 2019'!S110+'[2]2015-2019'!S110</f>
        <v>7992</v>
      </c>
      <c r="D110" s="32">
        <f>'[3]2015 - 2019'!T110+'[4]2015-2019'!T110</f>
        <v>17012</v>
      </c>
      <c r="E110" s="32">
        <f>'[5]2015 - 2019'!U110+'[6]2015-2019'!U110</f>
        <v>16625</v>
      </c>
      <c r="F110" s="32">
        <f>'[7]2015 - 2019'!V110+'[8]2015-2019'!V110</f>
        <v>13489.563</v>
      </c>
      <c r="G110" s="32">
        <f>'[9]2015 - 2019'!W110+'[10]2016-2021'!W110</f>
        <v>13475.305899999999</v>
      </c>
      <c r="H110" s="32">
        <f>'[11]2016 - 2021'!X110+'[12]2016-2021'!X110</f>
        <v>19983.829089999999</v>
      </c>
      <c r="I110" s="32">
        <f>'[13]2016 - 2021'!Y110+'[14]2016-2021'!Y110</f>
        <v>10234.45664</v>
      </c>
      <c r="J110" s="32">
        <f>'[15]2016 - 2021'!Z110+'[16]2016-2021'!Z110</f>
        <v>11184.839400000001</v>
      </c>
      <c r="K110" s="32">
        <f>'[17]2018 - 2022'!S110+'[18]2018-2022'!S110</f>
        <v>12561.01856</v>
      </c>
      <c r="L110" s="32">
        <f>'[19]2018 - 2022'!T110+'[20]2018-2022'!T110</f>
        <v>15883.30284</v>
      </c>
      <c r="M110" s="32">
        <f>'[21]2018 - 2022'!U110+'[22]2018-2022'!U110</f>
        <v>16951.399440000001</v>
      </c>
      <c r="N110" s="32">
        <f>'[23]2018 - 2023'!V110+'[24]2018-2023'!V110</f>
        <v>19264.078300000001</v>
      </c>
      <c r="O110" s="32">
        <f>'[23]2018 - 2023'!W110+'[24]2018-2023'!W110</f>
        <v>19560.27375</v>
      </c>
      <c r="P110" s="32">
        <f>'[25]2018 - 2023'!X110+'[26]2018-2023'!X110</f>
        <v>26085.204040000001</v>
      </c>
      <c r="Q110" s="32">
        <f>'[27]2018 - 2023'!Y110+'[28]2018-2023'!Y110</f>
        <v>23633.309850000001</v>
      </c>
      <c r="R110" s="32">
        <f>'[29]2018 - 2023'!Z110+'[30]2018-2023'!Z110</f>
        <v>24263.07374</v>
      </c>
      <c r="S110" s="32">
        <f>'[31]2020 - 2024'!S110+'[32]2020-2024'!S110</f>
        <v>25203.101040000001</v>
      </c>
      <c r="T110" s="32">
        <f>'[33]2020 - 2024'!T110+'[34]2020-2024'!T110</f>
        <v>26651.695680000001</v>
      </c>
      <c r="U110" s="32">
        <f>'[35]2020 - 2024'!U110+'[36]2020-2024'!U110</f>
        <v>25274.938279999998</v>
      </c>
      <c r="V110" s="32">
        <f>'[37]2020 - 2024'!V110+'[38]2020-2024'!V110</f>
        <v>31733.905340000001</v>
      </c>
      <c r="W110" s="32">
        <f>'[39]2020 - 2025'!W110+'[40]2020-2025'!W110</f>
        <v>21167.840909999999</v>
      </c>
      <c r="X110" s="32">
        <f>'[41]2020 - 2025'!X110+'[42]2020-2025'!X110</f>
        <v>21139.176790000001</v>
      </c>
      <c r="Y110" s="32">
        <f>'[43]2020 - 2025'!Y110+'[44]2020-2025'!Y110</f>
        <v>24973.52032</v>
      </c>
      <c r="Z110" s="32">
        <f>'[45]2020 - 2025'!Z110+'[46]2020-2025'!Z110</f>
        <v>18111.46531</v>
      </c>
      <c r="AA110" s="32">
        <f>'[47]2020 - 2026'!AA110+'[48]2020-2026'!AA110</f>
        <v>38358.730790000001</v>
      </c>
      <c r="AB110" s="32"/>
      <c r="AC110" s="32"/>
    </row>
    <row r="111" spans="1:29" ht="15" customHeight="1" x14ac:dyDescent="0.15">
      <c r="B111" s="2" t="s">
        <v>18</v>
      </c>
      <c r="C111" s="32">
        <f>'[1]2015 - 2019'!S111+'[2]2015-2019'!S111</f>
        <v>883671</v>
      </c>
      <c r="D111" s="32">
        <f>'[3]2015 - 2019'!T111+'[4]2015-2019'!T111</f>
        <v>835621</v>
      </c>
      <c r="E111" s="32">
        <f>'[5]2015 - 2019'!U111+'[6]2015-2019'!U111</f>
        <v>821649</v>
      </c>
      <c r="F111" s="32">
        <f>'[7]2015 - 2019'!V111+'[8]2015-2019'!V111</f>
        <v>908949.03399999999</v>
      </c>
      <c r="G111" s="32">
        <f>'[9]2015 - 2019'!W111+'[10]2016-2021'!W111</f>
        <v>1015990.92696</v>
      </c>
      <c r="H111" s="32">
        <f>'[11]2016 - 2021'!X111+'[12]2016-2021'!X111</f>
        <v>1024192.69825</v>
      </c>
      <c r="I111" s="32">
        <f>'[13]2016 - 2021'!Y111+'[14]2016-2021'!Y111</f>
        <v>963355.52275999996</v>
      </c>
      <c r="J111" s="32">
        <f>'[15]2016 - 2021'!Z111+'[16]2016-2021'!Z111</f>
        <v>987858.35953999998</v>
      </c>
      <c r="K111" s="32">
        <f>'[17]2018 - 2022'!S111+'[18]2018-2022'!S111</f>
        <v>948988.38034000003</v>
      </c>
      <c r="L111" s="32">
        <f>'[19]2018 - 2022'!T111+'[20]2018-2022'!T111</f>
        <v>1002985.64948</v>
      </c>
      <c r="M111" s="32">
        <f>'[21]2018 - 2022'!U111+'[22]2018-2022'!U111</f>
        <v>946928.98551000003</v>
      </c>
      <c r="N111" s="32">
        <f>'[23]2018 - 2023'!V111+'[24]2018-2023'!V111</f>
        <v>935074.60884</v>
      </c>
      <c r="O111" s="32">
        <f>'[23]2018 - 2023'!W111+'[24]2018-2023'!W111</f>
        <v>890643.41601000004</v>
      </c>
      <c r="P111" s="32">
        <f>'[25]2018 - 2023'!X111+'[26]2018-2023'!X111</f>
        <v>836354.53391999996</v>
      </c>
      <c r="Q111" s="32">
        <f>'[27]2018 - 2023'!Y111+'[28]2018-2023'!Y111</f>
        <v>866174.48817000003</v>
      </c>
      <c r="R111" s="32">
        <f>'[29]2018 - 2023'!Z111+'[30]2018-2023'!Z111</f>
        <v>777814.90066000004</v>
      </c>
      <c r="S111" s="32">
        <f>'[31]2020 - 2024'!S111+'[32]2020-2024'!S111</f>
        <v>813945.5671000001</v>
      </c>
      <c r="T111" s="32">
        <f>'[33]2020 - 2024'!T111+'[34]2020-2024'!T111</f>
        <v>828056.48092</v>
      </c>
      <c r="U111" s="32">
        <f>'[35]2020 - 2024'!U111+'[36]2020-2024'!U111</f>
        <v>844992.77260000003</v>
      </c>
      <c r="V111" s="32">
        <f>'[37]2020 - 2024'!V111+'[38]2020-2024'!V111</f>
        <v>882379.00016000005</v>
      </c>
      <c r="W111" s="32">
        <f>'[39]2020 - 2025'!W111+'[40]2020-2025'!W111</f>
        <v>833171.91756000009</v>
      </c>
      <c r="X111" s="32">
        <f>'[41]2020 - 2025'!X111+'[42]2020-2025'!X111</f>
        <v>851879.36244000006</v>
      </c>
      <c r="Y111" s="32">
        <f>'[43]2020 - 2025'!Y111+'[44]2020-2025'!Y111</f>
        <v>860386.30339000002</v>
      </c>
      <c r="Z111" s="32">
        <f>'[45]2020 - 2025'!Z111+'[46]2020-2025'!Z111</f>
        <v>798490.32770999998</v>
      </c>
      <c r="AA111" s="32">
        <f>'[47]2020 - 2026'!AA111+'[48]2020-2026'!AA111</f>
        <v>926630.22420000006</v>
      </c>
      <c r="AB111" s="32"/>
      <c r="AC111" s="32"/>
    </row>
    <row r="112" spans="1:29" ht="15" customHeight="1" x14ac:dyDescent="0.15">
      <c r="B112" s="2" t="s">
        <v>12</v>
      </c>
      <c r="C112" s="32">
        <f>'[1]2015 - 2019'!S112+'[2]2015-2019'!S112</f>
        <v>14728</v>
      </c>
      <c r="D112" s="32">
        <f>'[3]2015 - 2019'!T112+'[4]2015-2019'!T112</f>
        <v>13930</v>
      </c>
      <c r="E112" s="32">
        <f>'[5]2015 - 2019'!U112+'[6]2015-2019'!U112</f>
        <v>13830</v>
      </c>
      <c r="F112" s="32">
        <f>'[7]2015 - 2019'!V112+'[8]2015-2019'!V112</f>
        <v>13105.73</v>
      </c>
      <c r="G112" s="32">
        <f>'[9]2015 - 2019'!W112+'[10]2016-2021'!W112</f>
        <v>18102.774000000001</v>
      </c>
      <c r="H112" s="32">
        <f>'[11]2016 - 2021'!X112+'[12]2016-2021'!X112</f>
        <v>13890.849</v>
      </c>
      <c r="I112" s="32">
        <f>'[13]2016 - 2021'!Y112+'[14]2016-2021'!Y112</f>
        <v>11480.579</v>
      </c>
      <c r="J112" s="32">
        <f>'[15]2016 - 2021'!Z112+'[16]2016-2021'!Z112</f>
        <v>16270.995999999999</v>
      </c>
      <c r="K112" s="32">
        <f>'[17]2018 - 2022'!S112+'[18]2018-2022'!S112</f>
        <v>15511.481390000001</v>
      </c>
      <c r="L112" s="32">
        <f>'[19]2018 - 2022'!T112+'[20]2018-2022'!T112</f>
        <v>17256.754219999999</v>
      </c>
      <c r="M112" s="32">
        <f>'[21]2018 - 2022'!U112+'[22]2018-2022'!U112</f>
        <v>21646.651959999999</v>
      </c>
      <c r="N112" s="32">
        <f>'[23]2018 - 2023'!V112+'[24]2018-2023'!V112</f>
        <v>27842.971689999998</v>
      </c>
      <c r="O112" s="32">
        <f>'[23]2018 - 2023'!W112+'[24]2018-2023'!W112</f>
        <v>30783.952929999999</v>
      </c>
      <c r="P112" s="32">
        <f>'[25]2018 - 2023'!X112+'[26]2018-2023'!X112</f>
        <v>13981.31511</v>
      </c>
      <c r="Q112" s="32">
        <f>'[27]2018 - 2023'!Y112+'[28]2018-2023'!Y112</f>
        <v>8985.9678500000009</v>
      </c>
      <c r="R112" s="32">
        <f>'[29]2018 - 2023'!Z112+'[30]2018-2023'!Z112</f>
        <v>12331.88985</v>
      </c>
      <c r="S112" s="32">
        <f>'[31]2020 - 2024'!S112+'[32]2020-2024'!S112</f>
        <v>9295.0244999999995</v>
      </c>
      <c r="T112" s="32">
        <f>'[33]2020 - 2024'!T112+'[34]2020-2024'!T112</f>
        <v>6992.1345199999996</v>
      </c>
      <c r="U112" s="32">
        <f>'[35]2020 - 2024'!U112+'[36]2020-2024'!U112</f>
        <v>12173.81049</v>
      </c>
      <c r="V112" s="32">
        <f>'[37]2020 - 2024'!V112+'[38]2020-2024'!V112</f>
        <v>12045.24216</v>
      </c>
      <c r="W112" s="32">
        <f>'[39]2020 - 2025'!W112+'[40]2020-2025'!W112</f>
        <v>10472.91805</v>
      </c>
      <c r="X112" s="32">
        <f>'[41]2020 - 2025'!X112+'[42]2020-2025'!X112</f>
        <v>12442.563410000001</v>
      </c>
      <c r="Y112" s="32">
        <f>'[43]2020 - 2025'!Y112+'[44]2020-2025'!Y112</f>
        <v>10960.156269999999</v>
      </c>
      <c r="Z112" s="32">
        <f>'[45]2020 - 2025'!Z112+'[46]2020-2025'!Z112</f>
        <v>17152.680690000001</v>
      </c>
      <c r="AA112" s="32">
        <f>'[47]2020 - 2026'!AA112+'[48]2020-2026'!AA112</f>
        <v>7583.5326100000002</v>
      </c>
      <c r="AB112" s="32"/>
      <c r="AC112" s="32"/>
    </row>
    <row r="113" spans="1:29" ht="15" customHeight="1" x14ac:dyDescent="0.15">
      <c r="B113" s="2" t="s">
        <v>25</v>
      </c>
      <c r="C113" s="32">
        <f>'[1]2015 - 2019'!S113+'[2]2015-2019'!S113</f>
        <v>22482</v>
      </c>
      <c r="D113" s="32">
        <f>'[3]2015 - 2019'!T113+'[4]2015-2019'!T113</f>
        <v>56033</v>
      </c>
      <c r="E113" s="32">
        <f>'[5]2015 - 2019'!U113+'[6]2015-2019'!U113</f>
        <v>45841</v>
      </c>
      <c r="F113" s="32">
        <f>'[7]2015 - 2019'!V113+'[8]2015-2019'!V113</f>
        <v>49194.885999999999</v>
      </c>
      <c r="G113" s="32">
        <f>'[9]2015 - 2019'!W113+'[10]2016-2021'!W113</f>
        <v>54265.157149999999</v>
      </c>
      <c r="H113" s="32">
        <f>'[11]2016 - 2021'!X113+'[12]2016-2021'!X113</f>
        <v>60143.548600000002</v>
      </c>
      <c r="I113" s="32">
        <f>'[13]2016 - 2021'!Y113+'[14]2016-2021'!Y113</f>
        <v>46158.733189999999</v>
      </c>
      <c r="J113" s="32">
        <f>'[15]2016 - 2021'!Z113+'[16]2016-2021'!Z113</f>
        <v>40117.766280000003</v>
      </c>
      <c r="K113" s="32">
        <f>'[17]2018 - 2022'!S113+'[18]2018-2022'!S113</f>
        <v>38284.330560000002</v>
      </c>
      <c r="L113" s="32">
        <f>'[19]2018 - 2022'!T113+'[20]2018-2022'!T113</f>
        <v>66875.852469999998</v>
      </c>
      <c r="M113" s="32">
        <f>'[21]2018 - 2022'!U113+'[22]2018-2022'!U113</f>
        <v>65336.442509999993</v>
      </c>
      <c r="N113" s="32">
        <f>'[23]2018 - 2023'!V113+'[24]2018-2023'!V113</f>
        <v>34195.812859999998</v>
      </c>
      <c r="O113" s="32">
        <f>'[23]2018 - 2023'!W113+'[24]2018-2023'!W113</f>
        <v>40425.47896</v>
      </c>
      <c r="P113" s="32">
        <f>'[25]2018 - 2023'!X113+'[26]2018-2023'!X113</f>
        <v>50254.749089999998</v>
      </c>
      <c r="Q113" s="32">
        <f>'[27]2018 - 2023'!Y113+'[28]2018-2023'!Y113</f>
        <v>50580.188460000005</v>
      </c>
      <c r="R113" s="32">
        <f>'[29]2018 - 2023'!Z113+'[30]2018-2023'!Z113</f>
        <v>45149.817840000003</v>
      </c>
      <c r="S113" s="32">
        <f>'[31]2020 - 2024'!S113+'[32]2020-2024'!S113</f>
        <v>46549.435310000001</v>
      </c>
      <c r="T113" s="32">
        <f>'[33]2020 - 2024'!T113+'[34]2020-2024'!T113</f>
        <v>5901.2373399999997</v>
      </c>
      <c r="U113" s="32">
        <f>'[35]2020 - 2024'!U113+'[36]2020-2024'!U113</f>
        <v>4156.2694600000004</v>
      </c>
      <c r="V113" s="32">
        <f>'[37]2020 - 2024'!V113+'[38]2020-2024'!V113</f>
        <v>9046.9337599999999</v>
      </c>
      <c r="W113" s="32">
        <f>'[39]2020 - 2025'!W113+'[40]2020-2025'!W113</f>
        <v>10363.642400000001</v>
      </c>
      <c r="X113" s="32">
        <f>'[41]2020 - 2025'!X113+'[42]2020-2025'!X113</f>
        <v>8340.3094199999996</v>
      </c>
      <c r="Y113" s="32">
        <f>'[43]2020 - 2025'!Y113+'[44]2020-2025'!Y113</f>
        <v>9819.7746399999996</v>
      </c>
      <c r="Z113" s="32">
        <f>'[45]2020 - 2025'!Z113+'[46]2020-2025'!Z113</f>
        <v>4905.55944</v>
      </c>
      <c r="AA113" s="32">
        <f>'[47]2020 - 2026'!AA113+'[48]2020-2026'!AA113</f>
        <v>7571.5001899999997</v>
      </c>
      <c r="AB113" s="32"/>
      <c r="AC113" s="32"/>
    </row>
    <row r="114" spans="1:29" ht="15" customHeight="1" x14ac:dyDescent="0.15">
      <c r="B114" s="2" t="s">
        <v>46</v>
      </c>
      <c r="C114" s="32">
        <f>'[1]2015 - 2019'!S114+'[2]2015-2019'!S114</f>
        <v>5790</v>
      </c>
      <c r="D114" s="32">
        <f>'[3]2015 - 2019'!T114+'[4]2015-2019'!T114</f>
        <v>5961</v>
      </c>
      <c r="E114" s="32">
        <f>'[5]2015 - 2019'!U114+'[6]2015-2019'!U114</f>
        <v>4570</v>
      </c>
      <c r="F114" s="32">
        <f>'[7]2015 - 2019'!V114+'[8]2015-2019'!V114</f>
        <v>3772.8229999999999</v>
      </c>
      <c r="G114" s="32">
        <f>'[9]2015 - 2019'!W114+'[10]2016-2021'!W114</f>
        <v>4690.5400499999996</v>
      </c>
      <c r="H114" s="32">
        <f>'[11]2016 - 2021'!X114+'[12]2016-2021'!X114</f>
        <v>4211.3227299999999</v>
      </c>
      <c r="I114" s="32">
        <f>'[13]2016 - 2021'!Y114+'[14]2016-2021'!Y114</f>
        <v>3515.2684800000002</v>
      </c>
      <c r="J114" s="32">
        <f>'[15]2016 - 2021'!Z114+'[16]2016-2021'!Z114</f>
        <v>3414.9483100000002</v>
      </c>
      <c r="K114" s="32">
        <f>'[17]2018 - 2022'!S114+'[18]2018-2022'!S114</f>
        <v>5556.2737200000001</v>
      </c>
      <c r="L114" s="32">
        <f>'[19]2018 - 2022'!T114+'[20]2018-2022'!T114</f>
        <v>5370.4795100000001</v>
      </c>
      <c r="M114" s="32">
        <f>'[21]2018 - 2022'!U114+'[22]2018-2022'!U114</f>
        <v>8636.4371900000006</v>
      </c>
      <c r="N114" s="32">
        <f>'[23]2018 - 2023'!V114+'[24]2018-2023'!V114</f>
        <v>5329.5078000000003</v>
      </c>
      <c r="O114" s="32">
        <f>'[23]2018 - 2023'!W114+'[24]2018-2023'!W114</f>
        <v>2861.54601</v>
      </c>
      <c r="P114" s="32">
        <f>'[25]2018 - 2023'!X114+'[26]2018-2023'!X114</f>
        <v>2898.04232</v>
      </c>
      <c r="Q114" s="32">
        <f>'[27]2018 - 2023'!Y114+'[28]2018-2023'!Y114</f>
        <v>3682.6264900000001</v>
      </c>
      <c r="R114" s="32">
        <f>'[29]2018 - 2023'!Z114+'[30]2018-2023'!Z114</f>
        <v>5989.2557100000004</v>
      </c>
      <c r="S114" s="32">
        <f>'[31]2020 - 2024'!S114+'[32]2020-2024'!S114</f>
        <v>2868.2003300000001</v>
      </c>
      <c r="T114" s="32">
        <f>'[33]2020 - 2024'!T114+'[34]2020-2024'!T114</f>
        <v>2584.8511600000002</v>
      </c>
      <c r="U114" s="32">
        <f>'[35]2020 - 2024'!U114+'[36]2020-2024'!U114</f>
        <v>2931.6608200000001</v>
      </c>
      <c r="V114" s="32">
        <f>'[37]2020 - 2024'!V114+'[38]2020-2024'!V114</f>
        <v>4331.6215000000002</v>
      </c>
      <c r="W114" s="32">
        <f>'[39]2020 - 2025'!W114+'[40]2020-2025'!W114</f>
        <v>3794.2507599999999</v>
      </c>
      <c r="X114" s="32">
        <f>'[41]2020 - 2025'!X114+'[42]2020-2025'!X114</f>
        <v>3921.8083299999998</v>
      </c>
      <c r="Y114" s="32">
        <f>'[43]2020 - 2025'!Y114+'[44]2020-2025'!Y114</f>
        <v>2200.9074000000001</v>
      </c>
      <c r="Z114" s="32">
        <f>'[45]2020 - 2025'!Z114+'[46]2020-2025'!Z114</f>
        <v>3846.2924400000002</v>
      </c>
      <c r="AA114" s="32">
        <f>'[47]2020 - 2026'!AA114+'[48]2020-2026'!AA114</f>
        <v>2599.3481200000001</v>
      </c>
      <c r="AB114" s="32"/>
      <c r="AC114" s="32"/>
    </row>
    <row r="115" spans="1:29" ht="15" customHeight="1" x14ac:dyDescent="0.15">
      <c r="B115" s="12" t="s">
        <v>64</v>
      </c>
      <c r="C115" s="32">
        <f>'[1]2015 - 2019'!S115+'[2]2015-2019'!S115</f>
        <v>4113439</v>
      </c>
      <c r="D115" s="32">
        <f>'[3]2015 - 2019'!T115+'[4]2015-2019'!T115</f>
        <v>3687312</v>
      </c>
      <c r="E115" s="32">
        <f>'[5]2015 - 2019'!U115+'[6]2015-2019'!U115</f>
        <v>3781716</v>
      </c>
      <c r="F115" s="32">
        <f>'[7]2015 - 2019'!V115+'[8]2015-2019'!V115</f>
        <v>4918513.659</v>
      </c>
      <c r="G115" s="32">
        <f>'[9]2015 - 2019'!W115+'[10]2016-2021'!W115</f>
        <v>4188159.94429</v>
      </c>
      <c r="H115" s="32">
        <f>'[11]2016 - 2021'!X115+'[12]2016-2021'!X115</f>
        <v>5556455.2816000003</v>
      </c>
      <c r="I115" s="32">
        <f>'[13]2016 - 2021'!Y115+'[14]2016-2021'!Y115</f>
        <v>5626526.3867699997</v>
      </c>
      <c r="J115" s="32">
        <f>'[15]2016 - 2021'!Z115+'[16]2016-2021'!Z115</f>
        <v>5694241.6497300006</v>
      </c>
      <c r="K115" s="32">
        <f>'[17]2018 - 2022'!S115+'[18]2018-2022'!S115</f>
        <v>5812915.2334099999</v>
      </c>
      <c r="L115" s="32">
        <f>'[19]2018 - 2022'!T115+'[20]2018-2022'!T115</f>
        <v>5078032.2040999997</v>
      </c>
      <c r="M115" s="32">
        <f>'[21]2018 - 2022'!U115+'[22]2018-2022'!U115</f>
        <v>4682305.6821900001</v>
      </c>
      <c r="N115" s="32">
        <f>'[23]2018 - 2023'!V115+'[24]2018-2023'!V115</f>
        <v>4486850.2891600002</v>
      </c>
      <c r="O115" s="32">
        <f>'[23]2018 - 2023'!W115+'[24]2018-2023'!W115</f>
        <v>5079811.9661100004</v>
      </c>
      <c r="P115" s="32">
        <f>'[25]2018 - 2023'!X115+'[26]2018-2023'!X115</f>
        <v>4404769.8371700002</v>
      </c>
      <c r="Q115" s="32">
        <f>'[27]2018 - 2023'!Y115+'[28]2018-2023'!Y115</f>
        <v>4203121.0386899998</v>
      </c>
      <c r="R115" s="32">
        <f>'[29]2018 - 2023'!Z115+'[30]2018-2023'!Z115</f>
        <v>4318370.0960200001</v>
      </c>
      <c r="S115" s="32">
        <f>'[31]2020 - 2024'!S115+'[32]2020-2024'!S115</f>
        <v>4289007.8281299993</v>
      </c>
      <c r="T115" s="32">
        <f>'[33]2020 - 2024'!T115+'[34]2020-2024'!T115</f>
        <v>4670257.0647999998</v>
      </c>
      <c r="U115" s="32">
        <f>'[35]2020 - 2024'!U115+'[36]2020-2024'!U115</f>
        <v>5837372.9724700004</v>
      </c>
      <c r="V115" s="32">
        <f>'[37]2020 - 2024'!V115+'[38]2020-2024'!V115</f>
        <v>4928563.8206500001</v>
      </c>
      <c r="W115" s="32">
        <f>'[39]2020 - 2025'!W115+'[40]2020-2025'!W115</f>
        <v>5199442.5881099999</v>
      </c>
      <c r="X115" s="32">
        <f>'[41]2020 - 2025'!X115+'[42]2020-2025'!X115</f>
        <v>5768882.7716599992</v>
      </c>
      <c r="Y115" s="32">
        <f>'[43]2020 - 2025'!Y115+'[44]2020-2025'!Y115</f>
        <v>5130742.1849699998</v>
      </c>
      <c r="Z115" s="32">
        <f>'[45]2020 - 2025'!Z115+'[46]2020-2025'!Z115</f>
        <v>5906565.8418300003</v>
      </c>
      <c r="AA115" s="32">
        <f>'[47]2020 - 2026'!AA115+'[48]2020-2026'!AA115</f>
        <v>5544420.3608500008</v>
      </c>
      <c r="AB115" s="32"/>
      <c r="AC115" s="32"/>
    </row>
    <row r="116" spans="1:29" ht="15" customHeight="1" x14ac:dyDescent="0.15">
      <c r="B116" s="2" t="s">
        <v>88</v>
      </c>
      <c r="C116" s="32">
        <f>'[1]2015 - 2019'!S116+'[2]2015-2019'!S116</f>
        <v>1159418</v>
      </c>
      <c r="D116" s="32">
        <f>'[3]2015 - 2019'!T116+'[4]2015-2019'!T116</f>
        <v>1483155</v>
      </c>
      <c r="E116" s="32">
        <f>'[5]2015 - 2019'!U116+'[6]2015-2019'!U116</f>
        <v>1477885</v>
      </c>
      <c r="F116" s="32">
        <f>'[7]2015 - 2019'!V116+'[8]2015-2019'!V116</f>
        <v>1504893.351</v>
      </c>
      <c r="G116" s="32">
        <f>'[9]2015 - 2019'!W116+'[10]2016-2021'!W116</f>
        <v>1528643.7861599999</v>
      </c>
      <c r="H116" s="32">
        <f>'[11]2016 - 2021'!X116+'[12]2016-2021'!X116</f>
        <v>1534685.0064399999</v>
      </c>
      <c r="I116" s="32">
        <f>'[13]2016 - 2021'!Y116+'[14]2016-2021'!Y116</f>
        <v>1552188.1747300001</v>
      </c>
      <c r="J116" s="32">
        <f>'[15]2016 - 2021'!Z116+'[16]2016-2021'!Z116</f>
        <v>1628945.8690599999</v>
      </c>
      <c r="K116" s="32">
        <f>'[17]2018 - 2022'!S116+'[18]2018-2022'!S116</f>
        <v>1671611.37213</v>
      </c>
      <c r="L116" s="32">
        <f>'[19]2018 - 2022'!T116+'[20]2018-2022'!T116</f>
        <v>1668640.8681900001</v>
      </c>
      <c r="M116" s="32">
        <f>'[21]2018 - 2022'!U116+'[22]2018-2022'!U116</f>
        <v>1590245.9681200001</v>
      </c>
      <c r="N116" s="32">
        <f>'[23]2018 - 2023'!V116+'[24]2018-2023'!V116</f>
        <v>1545896.0635500001</v>
      </c>
      <c r="O116" s="32">
        <f>'[23]2018 - 2023'!W116+'[24]2018-2023'!W116</f>
        <v>1528465.95636</v>
      </c>
      <c r="P116" s="32">
        <f>'[25]2018 - 2023'!X116+'[26]2018-2023'!X116</f>
        <v>1505531.0706499999</v>
      </c>
      <c r="Q116" s="32">
        <f>'[27]2018 - 2023'!Y116+'[28]2018-2023'!Y116</f>
        <v>1400795.97141</v>
      </c>
      <c r="R116" s="32">
        <f>'[29]2018 - 2023'!Z116+'[30]2018-2023'!Z116</f>
        <v>1403777.49239</v>
      </c>
      <c r="S116" s="32">
        <f>'[31]2020 - 2024'!S116+'[32]2020-2024'!S116</f>
        <v>1432106.18401</v>
      </c>
      <c r="T116" s="32">
        <f>'[33]2020 - 2024'!T116+'[34]2020-2024'!T116</f>
        <v>1387337.65754</v>
      </c>
      <c r="U116" s="32">
        <f>'[35]2020 - 2024'!U116+'[36]2020-2024'!U116</f>
        <v>1355538.28033</v>
      </c>
      <c r="V116" s="32">
        <f>'[37]2020 - 2024'!V116+'[38]2020-2024'!V116</f>
        <v>1378392.46762</v>
      </c>
      <c r="W116" s="32">
        <f>'[39]2020 - 2025'!W116+'[40]2020-2025'!W116</f>
        <v>1482499.66438</v>
      </c>
      <c r="X116" s="32">
        <f>'[41]2020 - 2025'!X116+'[42]2020-2025'!X116</f>
        <v>1476019.5676299999</v>
      </c>
      <c r="Y116" s="32">
        <f>'[43]2020 - 2025'!Y116+'[44]2020-2025'!Y116</f>
        <v>1406680.3669</v>
      </c>
      <c r="Z116" s="32">
        <f>'[45]2020 - 2025'!Z116+'[46]2020-2025'!Z116</f>
        <v>1445000.8692900001</v>
      </c>
      <c r="AA116" s="32">
        <f>'[47]2020 - 2026'!AA116+'[48]2020-2026'!AA116</f>
        <v>1529191.97419</v>
      </c>
      <c r="AB116" s="32"/>
      <c r="AC116" s="32"/>
    </row>
    <row r="117" spans="1:29" ht="15" customHeight="1" x14ac:dyDescent="0.15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</row>
    <row r="118" spans="1:29" ht="15" customHeight="1" x14ac:dyDescent="0.15">
      <c r="A118" s="4">
        <v>10</v>
      </c>
      <c r="B118" s="43" t="s">
        <v>10</v>
      </c>
      <c r="C118" s="19">
        <f t="shared" ref="C118:H118" si="185">SUM(C119:C126)</f>
        <v>2496187</v>
      </c>
      <c r="D118" s="19">
        <f t="shared" si="185"/>
        <v>2435752</v>
      </c>
      <c r="E118" s="19">
        <f t="shared" si="185"/>
        <v>2133622</v>
      </c>
      <c r="F118" s="19">
        <f t="shared" si="185"/>
        <v>2108091.8659999999</v>
      </c>
      <c r="G118" s="19">
        <f t="shared" si="185"/>
        <v>2233620.3752100002</v>
      </c>
      <c r="H118" s="19">
        <f t="shared" si="185"/>
        <v>2092702.8056599998</v>
      </c>
      <c r="I118" s="19">
        <f t="shared" ref="I118:J118" si="186">SUM(I119:I126)</f>
        <v>1983254.5418899995</v>
      </c>
      <c r="J118" s="19">
        <f t="shared" si="186"/>
        <v>1911773.0164299998</v>
      </c>
      <c r="K118" s="19">
        <f t="shared" ref="K118:L118" si="187">SUM(K119:K126)</f>
        <v>2000782.4072400001</v>
      </c>
      <c r="L118" s="19">
        <f t="shared" si="187"/>
        <v>2098188.3581500002</v>
      </c>
      <c r="M118" s="19">
        <f t="shared" ref="M118" si="188">SUM(M119:M126)</f>
        <v>1866005.4450300001</v>
      </c>
      <c r="N118" s="19">
        <f t="shared" ref="N118:O118" si="189">SUM(N119:N126)</f>
        <v>2070312.47618</v>
      </c>
      <c r="O118" s="19">
        <f t="shared" si="189"/>
        <v>2299203.8371100002</v>
      </c>
      <c r="P118" s="19">
        <f t="shared" ref="P118:Q118" si="190">SUM(P119:P126)</f>
        <v>2645437.3270399999</v>
      </c>
      <c r="Q118" s="19">
        <f t="shared" si="190"/>
        <v>3340782.4985600002</v>
      </c>
      <c r="R118" s="19">
        <f t="shared" ref="R118:S118" si="191">SUM(R119:R126)</f>
        <v>2880717.7042199997</v>
      </c>
      <c r="S118" s="19">
        <f t="shared" si="191"/>
        <v>3099677.1056299997</v>
      </c>
      <c r="T118" s="19">
        <f t="shared" ref="T118:U118" si="192">SUM(T119:T126)</f>
        <v>3177647.99608</v>
      </c>
      <c r="U118" s="19">
        <f t="shared" si="192"/>
        <v>3197128.0688800002</v>
      </c>
      <c r="V118" s="19">
        <f t="shared" ref="V118" si="193">SUM(V119:V126)</f>
        <v>3342370.2766900002</v>
      </c>
      <c r="W118" s="19">
        <f>'[39]2020 - 2025'!W118+'[40]2020-2025'!W118</f>
        <v>3542275.5878699999</v>
      </c>
      <c r="X118" s="19">
        <f>'[41]2020 - 2025'!X118+'[42]2020-2025'!X118</f>
        <v>3473542.88662</v>
      </c>
      <c r="Y118" s="19">
        <f>'[43]2020 - 2025'!Y118+'[44]2020-2025'!Y118</f>
        <v>3389073.41818</v>
      </c>
      <c r="Z118" s="19">
        <f>'[45]2020 - 2025'!Z118+'[46]2020-2025'!Z118</f>
        <v>3938129.1522899996</v>
      </c>
      <c r="AA118" s="19">
        <f>'[47]2020 - 2026'!AA118+'[48]2020-2026'!AA118</f>
        <v>3860143.7396399998</v>
      </c>
      <c r="AB118" s="32"/>
      <c r="AC118" s="32"/>
    </row>
    <row r="119" spans="1:29" ht="15" customHeight="1" x14ac:dyDescent="0.15">
      <c r="B119" s="2" t="s">
        <v>3</v>
      </c>
      <c r="C119" s="32">
        <f>'[1]2015 - 2019'!S119+'[2]2015-2019'!S119</f>
        <v>833028</v>
      </c>
      <c r="D119" s="32">
        <f>'[3]2015 - 2019'!T119+'[4]2015-2019'!T119</f>
        <v>756561</v>
      </c>
      <c r="E119" s="32">
        <f>'[5]2015 - 2019'!U119+'[6]2015-2019'!U119</f>
        <v>644693</v>
      </c>
      <c r="F119" s="32">
        <f>'[7]2015 - 2019'!V119+'[8]2015-2019'!V119</f>
        <v>680171.14300000004</v>
      </c>
      <c r="G119" s="32">
        <f>'[9]2015 - 2019'!W119+'[10]2016-2021'!W119</f>
        <v>762467.59933</v>
      </c>
      <c r="H119" s="32">
        <f>'[11]2016 - 2021'!X119+'[12]2016-2021'!X119</f>
        <v>657595.22710999998</v>
      </c>
      <c r="I119" s="32">
        <f>'[13]2016 - 2021'!Y119+'[14]2016-2021'!Y119</f>
        <v>564663.39925999998</v>
      </c>
      <c r="J119" s="32">
        <f>'[15]2016 - 2021'!Z119+'[16]2016-2021'!Z119</f>
        <v>548574.72849999997</v>
      </c>
      <c r="K119" s="32">
        <f>'[17]2018 - 2022'!S119+'[18]2018-2022'!S119</f>
        <v>636851.90260000003</v>
      </c>
      <c r="L119" s="32">
        <f>'[19]2018 - 2022'!T119+'[20]2018-2022'!T119</f>
        <v>594436.06564000004</v>
      </c>
      <c r="M119" s="32">
        <f>'[21]2018 - 2022'!U119+'[22]2018-2022'!U119</f>
        <v>440240.9999</v>
      </c>
      <c r="N119" s="32">
        <f>'[23]2018 - 2023'!V119+'[24]2018-2023'!V119</f>
        <v>528864.82522999996</v>
      </c>
      <c r="O119" s="32">
        <f>'[23]2018 - 2023'!W119+'[24]2018-2023'!W119</f>
        <v>619446.45455999998</v>
      </c>
      <c r="P119" s="32">
        <f>'[25]2018 - 2023'!X119+'[26]2018-2023'!X119</f>
        <v>757577.57510000002</v>
      </c>
      <c r="Q119" s="32">
        <f>'[27]2018 - 2023'!Y119+'[28]2018-2023'!Y119</f>
        <v>693796.70975000004</v>
      </c>
      <c r="R119" s="32">
        <f>'[29]2018 - 2023'!Z119+'[30]2018-2023'!Z119</f>
        <v>726580.18689000001</v>
      </c>
      <c r="S119" s="32">
        <f>'[31]2020 - 2024'!S119+'[32]2020-2024'!S119</f>
        <v>699793.75208999997</v>
      </c>
      <c r="T119" s="32">
        <f>'[33]2020 - 2024'!T119+'[34]2020-2024'!T119</f>
        <v>703216.66614999995</v>
      </c>
      <c r="U119" s="32">
        <f>'[35]2020 - 2024'!U119+'[36]2020-2024'!U119</f>
        <v>550380.88803999999</v>
      </c>
      <c r="V119" s="32">
        <f>'[37]2020 - 2024'!V119+'[38]2020-2024'!V119</f>
        <v>714179.47915000003</v>
      </c>
      <c r="W119" s="32">
        <f>'[39]2020 - 2025'!W119+'[40]2020-2025'!W119</f>
        <v>715299.00301999995</v>
      </c>
      <c r="X119" s="32">
        <f>'[41]2020 - 2025'!X119+'[42]2020-2025'!X119</f>
        <v>600910.52307999996</v>
      </c>
      <c r="Y119" s="32">
        <f>'[43]2020 - 2025'!Y119+'[44]2020-2025'!Y119</f>
        <v>613509.67489999998</v>
      </c>
      <c r="Z119" s="32">
        <f>'[45]2020 - 2025'!Z119+'[46]2020-2025'!Z119</f>
        <v>899405.90255</v>
      </c>
      <c r="AA119" s="32">
        <f>'[47]2020 - 2026'!AA119+'[48]2020-2026'!AA119</f>
        <v>826477.57183999999</v>
      </c>
      <c r="AB119" s="32"/>
      <c r="AC119" s="32"/>
    </row>
    <row r="120" spans="1:29" ht="15" customHeight="1" x14ac:dyDescent="0.15">
      <c r="B120" s="2" t="s">
        <v>21</v>
      </c>
      <c r="C120" s="32">
        <f>'[1]2015 - 2019'!S120+'[2]2015-2019'!S120</f>
        <v>196694</v>
      </c>
      <c r="D120" s="32">
        <f>'[3]2015 - 2019'!T120+'[4]2015-2019'!T120</f>
        <v>279268</v>
      </c>
      <c r="E120" s="32">
        <f>'[5]2015 - 2019'!U120+'[6]2015-2019'!U120</f>
        <v>124653</v>
      </c>
      <c r="F120" s="32">
        <f>'[7]2015 - 2019'!V120+'[8]2015-2019'!V120</f>
        <v>144072.60699999999</v>
      </c>
      <c r="G120" s="32">
        <f>'[9]2015 - 2019'!W120+'[10]2016-2021'!W120</f>
        <v>153766.02390999999</v>
      </c>
      <c r="H120" s="32">
        <f>'[11]2016 - 2021'!X120+'[12]2016-2021'!X120</f>
        <v>134291.16677000001</v>
      </c>
      <c r="I120" s="32">
        <f>'[13]2016 - 2021'!Y120+'[14]2016-2021'!Y120</f>
        <v>158726.48365000001</v>
      </c>
      <c r="J120" s="32">
        <f>'[15]2016 - 2021'!Z120+'[16]2016-2021'!Z120</f>
        <v>147862.88542999999</v>
      </c>
      <c r="K120" s="32">
        <f>'[17]2018 - 2022'!S120+'[18]2018-2022'!S120</f>
        <v>145524.11744</v>
      </c>
      <c r="L120" s="32">
        <f>'[19]2018 - 2022'!T120+'[20]2018-2022'!T120</f>
        <v>83449.732300000003</v>
      </c>
      <c r="M120" s="32">
        <f>'[21]2018 - 2022'!U120+'[22]2018-2022'!U120</f>
        <v>91570.022020000004</v>
      </c>
      <c r="N120" s="32">
        <f>'[23]2018 - 2023'!V120+'[24]2018-2023'!V120</f>
        <v>116094.76357</v>
      </c>
      <c r="O120" s="32">
        <f>'[23]2018 - 2023'!W120+'[24]2018-2023'!W120</f>
        <v>128082.73413</v>
      </c>
      <c r="P120" s="32">
        <f>'[25]2018 - 2023'!X120+'[26]2018-2023'!X120</f>
        <v>140948.04246</v>
      </c>
      <c r="Q120" s="32">
        <f>'[27]2018 - 2023'!Y120+'[28]2018-2023'!Y120</f>
        <v>145637.29018000001</v>
      </c>
      <c r="R120" s="32">
        <f>'[29]2018 - 2023'!Z120+'[30]2018-2023'!Z120</f>
        <v>162705.24570999999</v>
      </c>
      <c r="S120" s="32">
        <f>'[31]2020 - 2024'!S120+'[32]2020-2024'!S120</f>
        <v>168994.93323</v>
      </c>
      <c r="T120" s="32">
        <f>'[33]2020 - 2024'!T120+'[34]2020-2024'!T120</f>
        <v>181020.59417999999</v>
      </c>
      <c r="U120" s="32">
        <f>'[35]2020 - 2024'!U120+'[36]2020-2024'!U120</f>
        <v>213161.48118</v>
      </c>
      <c r="V120" s="32">
        <f>'[37]2020 - 2024'!V120+'[38]2020-2024'!V120</f>
        <v>234438.91028000001</v>
      </c>
      <c r="W120" s="32">
        <f>'[39]2020 - 2025'!W120+'[40]2020-2025'!W120</f>
        <v>251182.18895000001</v>
      </c>
      <c r="X120" s="32">
        <f>'[41]2020 - 2025'!X120+'[42]2020-2025'!X120</f>
        <v>255753.69844000001</v>
      </c>
      <c r="Y120" s="32">
        <f>'[43]2020 - 2025'!Y120+'[44]2020-2025'!Y120</f>
        <v>255112.33196000001</v>
      </c>
      <c r="Z120" s="32">
        <f>'[45]2020 - 2025'!Z120+'[46]2020-2025'!Z120</f>
        <v>306028.86670999997</v>
      </c>
      <c r="AA120" s="32">
        <f>'[47]2020 - 2026'!AA120+'[48]2020-2026'!AA120</f>
        <v>344009.29061000003</v>
      </c>
      <c r="AB120" s="32"/>
      <c r="AC120" s="32"/>
    </row>
    <row r="121" spans="1:29" ht="15" customHeight="1" x14ac:dyDescent="0.15">
      <c r="B121" s="2" t="s">
        <v>18</v>
      </c>
      <c r="C121" s="32">
        <f>'[1]2015 - 2019'!S121+'[2]2015-2019'!S121</f>
        <v>325656</v>
      </c>
      <c r="D121" s="32">
        <f>'[3]2015 - 2019'!T121+'[4]2015-2019'!T121</f>
        <v>337959</v>
      </c>
      <c r="E121" s="32">
        <f>'[5]2015 - 2019'!U121+'[6]2015-2019'!U121</f>
        <v>332848</v>
      </c>
      <c r="F121" s="32">
        <f>'[7]2015 - 2019'!V121+'[8]2015-2019'!V121</f>
        <v>325672.87800000003</v>
      </c>
      <c r="G121" s="32">
        <f>'[9]2015 - 2019'!W121+'[10]2016-2021'!W121</f>
        <v>420080.42358</v>
      </c>
      <c r="H121" s="32">
        <f>'[11]2016 - 2021'!X121+'[12]2016-2021'!X121</f>
        <v>466426.15239</v>
      </c>
      <c r="I121" s="32">
        <f>'[13]2016 - 2021'!Y121+'[14]2016-2021'!Y121</f>
        <v>404288.38173000002</v>
      </c>
      <c r="J121" s="32">
        <f>'[15]2016 - 2021'!Z121+'[16]2016-2021'!Z121</f>
        <v>375625.52982</v>
      </c>
      <c r="K121" s="32">
        <f>'[17]2018 - 2022'!S121+'[18]2018-2022'!S121</f>
        <v>375286.49099000002</v>
      </c>
      <c r="L121" s="32">
        <f>'[19]2018 - 2022'!T121+'[20]2018-2022'!T121</f>
        <v>533011.78792999999</v>
      </c>
      <c r="M121" s="32">
        <f>'[21]2018 - 2022'!U121+'[22]2018-2022'!U121</f>
        <v>426204.84198000003</v>
      </c>
      <c r="N121" s="32">
        <f>'[23]2018 - 2023'!V121+'[24]2018-2023'!V121</f>
        <v>471342.09522000002</v>
      </c>
      <c r="O121" s="32">
        <f>'[23]2018 - 2023'!W121+'[24]2018-2023'!W121</f>
        <v>548976.98956999998</v>
      </c>
      <c r="P121" s="32">
        <f>'[25]2018 - 2023'!X121+'[26]2018-2023'!X121</f>
        <v>617260.39295000001</v>
      </c>
      <c r="Q121" s="32">
        <f>'[27]2018 - 2023'!Y121+'[28]2018-2023'!Y121</f>
        <v>654064.50556000008</v>
      </c>
      <c r="R121" s="32">
        <f>'[29]2018 - 2023'!Z121+'[30]2018-2023'!Z121</f>
        <v>583175.22178999998</v>
      </c>
      <c r="S121" s="32">
        <f>'[31]2020 - 2024'!S121+'[32]2020-2024'!S121</f>
        <v>639601.75817000004</v>
      </c>
      <c r="T121" s="32">
        <f>'[33]2020 - 2024'!T121+'[34]2020-2024'!T121</f>
        <v>689578.19039</v>
      </c>
      <c r="U121" s="32">
        <f>'[35]2020 - 2024'!U121+'[36]2020-2024'!U121</f>
        <v>664273.81373000005</v>
      </c>
      <c r="V121" s="32">
        <f>'[37]2020 - 2024'!V121+'[38]2020-2024'!V121</f>
        <v>727704.48294999998</v>
      </c>
      <c r="W121" s="32">
        <f>'[39]2020 - 2025'!W121+'[40]2020-2025'!W121</f>
        <v>888995.54961999995</v>
      </c>
      <c r="X121" s="32">
        <f>'[41]2020 - 2025'!X121+'[42]2020-2025'!X121</f>
        <v>977866.05532000004</v>
      </c>
      <c r="Y121" s="32">
        <f>'[43]2020 - 2025'!Y121+'[44]2020-2025'!Y121</f>
        <v>960234.96457000007</v>
      </c>
      <c r="Z121" s="32">
        <f>'[45]2020 - 2025'!Z121+'[46]2020-2025'!Z121</f>
        <v>932808.96337000001</v>
      </c>
      <c r="AA121" s="32">
        <f>'[47]2020 - 2026'!AA121+'[48]2020-2026'!AA121</f>
        <v>959489.40951000003</v>
      </c>
      <c r="AB121" s="32"/>
      <c r="AC121" s="32"/>
    </row>
    <row r="122" spans="1:29" ht="15" customHeight="1" x14ac:dyDescent="0.15">
      <c r="B122" s="2" t="s">
        <v>12</v>
      </c>
      <c r="C122" s="32">
        <f>'[1]2015 - 2019'!S122+'[2]2015-2019'!S122</f>
        <v>8049</v>
      </c>
      <c r="D122" s="32">
        <f>'[3]2015 - 2019'!T122+'[4]2015-2019'!T122</f>
        <v>8071</v>
      </c>
      <c r="E122" s="32">
        <f>'[5]2015 - 2019'!U122+'[6]2015-2019'!U122</f>
        <v>8072</v>
      </c>
      <c r="F122" s="32">
        <f>'[7]2015 - 2019'!V122+'[8]2015-2019'!V122</f>
        <v>8101.5519999999997</v>
      </c>
      <c r="G122" s="32">
        <f>'[9]2015 - 2019'!W122+'[10]2016-2021'!W122</f>
        <v>8101.5519999999997</v>
      </c>
      <c r="H122" s="32">
        <f>'[11]2016 - 2021'!X122+'[12]2016-2021'!X122</f>
        <v>8104.6459999999997</v>
      </c>
      <c r="I122" s="32">
        <f>'[13]2016 - 2021'!Y122+'[14]2016-2021'!Y122</f>
        <v>8112.1229999999996</v>
      </c>
      <c r="J122" s="32">
        <f>'[15]2016 - 2021'!Z122+'[16]2016-2021'!Z122</f>
        <v>8115.2209999999995</v>
      </c>
      <c r="K122" s="32">
        <f>'[17]2018 - 2022'!S122+'[18]2018-2022'!S122</f>
        <v>8115.2209999999995</v>
      </c>
      <c r="L122" s="32">
        <f>'[19]2018 - 2022'!T122+'[20]2018-2022'!T122</f>
        <v>8128.9110000000001</v>
      </c>
      <c r="M122" s="32">
        <f>'[21]2018 - 2022'!U122+'[22]2018-2022'!U122</f>
        <v>8128.9110000000001</v>
      </c>
      <c r="N122" s="32">
        <f>'[23]2018 - 2023'!V122+'[24]2018-2023'!V122</f>
        <v>8146.81</v>
      </c>
      <c r="O122" s="32">
        <f>'[23]2018 - 2023'!W122+'[24]2018-2023'!W122</f>
        <v>8203.0560000000005</v>
      </c>
      <c r="P122" s="32">
        <f>'[25]2018 - 2023'!X122+'[26]2018-2023'!X122</f>
        <v>21986.335999999999</v>
      </c>
      <c r="Q122" s="32">
        <f>'[27]2018 - 2023'!Y122+'[28]2018-2023'!Y122</f>
        <v>28307.401999999998</v>
      </c>
      <c r="R122" s="32">
        <f>'[29]2018 - 2023'!Z122+'[30]2018-2023'!Z122</f>
        <v>32465.825000000001</v>
      </c>
      <c r="S122" s="32">
        <f>'[31]2020 - 2024'!S122+'[32]2020-2024'!S122</f>
        <v>32795.720999999998</v>
      </c>
      <c r="T122" s="32">
        <f>'[33]2020 - 2024'!T122+'[34]2020-2024'!T122</f>
        <v>31067.091</v>
      </c>
      <c r="U122" s="32">
        <f>'[35]2020 - 2024'!U122+'[36]2020-2024'!U122</f>
        <v>16699.456999999999</v>
      </c>
      <c r="V122" s="32">
        <f>'[37]2020 - 2024'!V122+'[38]2020-2024'!V122</f>
        <v>10916.337</v>
      </c>
      <c r="W122" s="32">
        <f>'[39]2020 - 2025'!W122+'[40]2020-2025'!W122</f>
        <v>11029.84</v>
      </c>
      <c r="X122" s="32">
        <f>'[41]2020 - 2025'!X122+'[42]2020-2025'!X122</f>
        <v>11178.275</v>
      </c>
      <c r="Y122" s="32">
        <f>'[43]2020 - 2025'!Y122+'[44]2020-2025'!Y122</f>
        <v>9264.9850000000006</v>
      </c>
      <c r="Z122" s="32">
        <f>'[45]2020 - 2025'!Z122+'[46]2020-2025'!Z122</f>
        <v>6861.0420000000004</v>
      </c>
      <c r="AA122" s="32">
        <f>'[47]2020 - 2026'!AA122+'[48]2020-2026'!AA122</f>
        <v>6915.1970000000001</v>
      </c>
      <c r="AB122" s="32"/>
      <c r="AC122" s="32"/>
    </row>
    <row r="123" spans="1:29" ht="15" customHeight="1" x14ac:dyDescent="0.15">
      <c r="B123" s="2" t="s">
        <v>33</v>
      </c>
      <c r="C123" s="32">
        <f>'[1]2015 - 2019'!S123+'[2]2015-2019'!S123</f>
        <v>15762</v>
      </c>
      <c r="D123" s="32">
        <f>'[3]2015 - 2019'!T123+'[4]2015-2019'!T123</f>
        <v>14759</v>
      </c>
      <c r="E123" s="32">
        <f>'[5]2015 - 2019'!U123+'[6]2015-2019'!U123</f>
        <v>12987</v>
      </c>
      <c r="F123" s="32">
        <f>'[7]2015 - 2019'!V123+'[8]2015-2019'!V123</f>
        <v>12560.45</v>
      </c>
      <c r="G123" s="32">
        <f>'[9]2015 - 2019'!W123+'[10]2016-2021'!W123</f>
        <v>23124.436820000003</v>
      </c>
      <c r="H123" s="32">
        <f>'[11]2016 - 2021'!X123+'[12]2016-2021'!X123</f>
        <v>16135.185590000001</v>
      </c>
      <c r="I123" s="32">
        <f>'[13]2016 - 2021'!Y123+'[14]2016-2021'!Y123</f>
        <v>14129.12347</v>
      </c>
      <c r="J123" s="32">
        <f>'[15]2016 - 2021'!Z123+'[16]2016-2021'!Z123</f>
        <v>13977.89791</v>
      </c>
      <c r="K123" s="32">
        <f>'[17]2018 - 2022'!S123+'[18]2018-2022'!S123</f>
        <v>37979.625889999996</v>
      </c>
      <c r="L123" s="32">
        <f>'[19]2018 - 2022'!T123+'[20]2018-2022'!T123</f>
        <v>72441.730039999995</v>
      </c>
      <c r="M123" s="32">
        <f>'[21]2018 - 2022'!U123+'[22]2018-2022'!U123</f>
        <v>66113.193450000006</v>
      </c>
      <c r="N123" s="32">
        <f>'[23]2018 - 2023'!V123+'[24]2018-2023'!V123</f>
        <v>66664.67194</v>
      </c>
      <c r="O123" s="32">
        <f>'[23]2018 - 2023'!W123+'[24]2018-2023'!W123</f>
        <v>55464.455539999995</v>
      </c>
      <c r="P123" s="32">
        <f>'[25]2018 - 2023'!X123+'[26]2018-2023'!X123</f>
        <v>79266.829689999999</v>
      </c>
      <c r="Q123" s="32">
        <f>'[27]2018 - 2023'!Y123+'[28]2018-2023'!Y123</f>
        <v>72339.196219999998</v>
      </c>
      <c r="R123" s="32">
        <f>'[29]2018 - 2023'!Z123+'[30]2018-2023'!Z123</f>
        <v>79272.865040000004</v>
      </c>
      <c r="S123" s="32">
        <f>'[31]2020 - 2024'!S123+'[32]2020-2024'!S123</f>
        <v>104328.86699000001</v>
      </c>
      <c r="T123" s="32">
        <f>'[33]2020 - 2024'!T123+'[34]2020-2024'!T123</f>
        <v>103814.41087000001</v>
      </c>
      <c r="U123" s="32">
        <f>'[35]2020 - 2024'!U123+'[36]2020-2024'!U123</f>
        <v>105123.53482</v>
      </c>
      <c r="V123" s="32">
        <f>'[37]2020 - 2024'!V123+'[38]2020-2024'!V123</f>
        <v>106372.30418000001</v>
      </c>
      <c r="W123" s="32">
        <f>'[39]2020 - 2025'!W123+'[40]2020-2025'!W123</f>
        <v>107001.3731</v>
      </c>
      <c r="X123" s="32">
        <f>'[41]2020 - 2025'!X123+'[42]2020-2025'!X123</f>
        <v>109337.47639</v>
      </c>
      <c r="Y123" s="32">
        <f>'[43]2020 - 2025'!Y123+'[44]2020-2025'!Y123</f>
        <v>117754.92715999999</v>
      </c>
      <c r="Z123" s="32">
        <f>'[45]2020 - 2025'!Z123+'[46]2020-2025'!Z123</f>
        <v>114956.75609</v>
      </c>
      <c r="AA123" s="32">
        <f>'[47]2020 - 2026'!AA123+'[48]2020-2026'!AA123</f>
        <v>148679.37638999999</v>
      </c>
    </row>
    <row r="124" spans="1:29" ht="15" customHeight="1" x14ac:dyDescent="0.15">
      <c r="B124" s="2" t="s">
        <v>46</v>
      </c>
      <c r="C124" s="32">
        <f>'[1]2015 - 2019'!S124+'[2]2015-2019'!S124</f>
        <v>7426</v>
      </c>
      <c r="D124" s="32">
        <f>'[3]2015 - 2019'!T124+'[4]2015-2019'!T124</f>
        <v>6480</v>
      </c>
      <c r="E124" s="32">
        <f>'[5]2015 - 2019'!U124+'[6]2015-2019'!U124</f>
        <v>48795</v>
      </c>
      <c r="F124" s="32">
        <f>'[7]2015 - 2019'!V124+'[8]2015-2019'!V124</f>
        <v>8433.9030000000002</v>
      </c>
      <c r="G124" s="32">
        <f>'[9]2015 - 2019'!W124+'[10]2016-2021'!W124</f>
        <v>8252.7124600000006</v>
      </c>
      <c r="H124" s="32">
        <f>'[11]2016 - 2021'!X124+'[12]2016-2021'!X124</f>
        <v>8648.9511299999995</v>
      </c>
      <c r="I124" s="32">
        <f>'[13]2016 - 2021'!Y124+'[14]2016-2021'!Y124</f>
        <v>8841.9408199999998</v>
      </c>
      <c r="J124" s="32">
        <f>'[15]2016 - 2021'!Z124+'[16]2016-2021'!Z124</f>
        <v>14857.584290000001</v>
      </c>
      <c r="K124" s="32">
        <f>'[17]2018 - 2022'!S124+'[18]2018-2022'!S124</f>
        <v>13598.001689999999</v>
      </c>
      <c r="L124" s="32">
        <f>'[19]2018 - 2022'!T124+'[20]2018-2022'!T124</f>
        <v>15204.54905</v>
      </c>
      <c r="M124" s="32">
        <f>'[21]2018 - 2022'!U124+'[22]2018-2022'!U124</f>
        <v>10060.223959999999</v>
      </c>
      <c r="N124" s="32">
        <f>'[23]2018 - 2023'!V124+'[24]2018-2023'!V124</f>
        <v>11192.57956</v>
      </c>
      <c r="O124" s="32">
        <f>'[23]2018 - 2023'!W124+'[24]2018-2023'!W124</f>
        <v>15399.1608</v>
      </c>
      <c r="P124" s="32">
        <f>'[25]2018 - 2023'!X124+'[26]2018-2023'!X124</f>
        <v>17427.58915</v>
      </c>
      <c r="Q124" s="32">
        <f>'[27]2018 - 2023'!Y124+'[28]2018-2023'!Y124</f>
        <v>17796.00517</v>
      </c>
      <c r="R124" s="32">
        <f>'[29]2018 - 2023'!Z124+'[30]2018-2023'!Z124</f>
        <v>16324.174489999999</v>
      </c>
      <c r="S124" s="32">
        <f>'[31]2020 - 2024'!S124+'[32]2020-2024'!S124</f>
        <v>18380.322400000001</v>
      </c>
      <c r="T124" s="32">
        <f>'[33]2020 - 2024'!T124+'[34]2020-2024'!T124</f>
        <v>17418.945879999999</v>
      </c>
      <c r="U124" s="32">
        <f>'[35]2020 - 2024'!U124+'[36]2020-2024'!U124</f>
        <v>63029.02248</v>
      </c>
      <c r="V124" s="32">
        <f>'[37]2020 - 2024'!V124+'[38]2020-2024'!V124</f>
        <v>60608.621800000001</v>
      </c>
      <c r="W124" s="32">
        <f>'[39]2020 - 2025'!W124+'[40]2020-2025'!W124</f>
        <v>63111.870719999999</v>
      </c>
      <c r="X124" s="32">
        <f>'[41]2020 - 2025'!X124+'[42]2020-2025'!X124</f>
        <v>56513.654139999999</v>
      </c>
      <c r="Y124" s="32">
        <f>'[43]2020 - 2025'!Y124+'[44]2020-2025'!Y124</f>
        <v>56083.056219999999</v>
      </c>
      <c r="Z124" s="32">
        <f>'[45]2020 - 2025'!Z124+'[46]2020-2025'!Z124</f>
        <v>55941.245219999997</v>
      </c>
      <c r="AA124" s="32">
        <f>'[47]2020 - 2026'!AA124+'[48]2020-2026'!AA124</f>
        <v>141086.34414999999</v>
      </c>
    </row>
    <row r="125" spans="1:29" ht="15" customHeight="1" x14ac:dyDescent="0.15">
      <c r="B125" s="12" t="s">
        <v>83</v>
      </c>
      <c r="C125" s="32">
        <f>'[1]2015 - 2019'!S125+'[2]2015-2019'!S125</f>
        <v>492606</v>
      </c>
      <c r="D125" s="32">
        <f>'[3]2015 - 2019'!T125+'[4]2015-2019'!T125</f>
        <v>439195</v>
      </c>
      <c r="E125" s="32">
        <f>'[5]2015 - 2019'!U125+'[6]2015-2019'!U125</f>
        <v>380525</v>
      </c>
      <c r="F125" s="32">
        <f>'[7]2015 - 2019'!V125+'[8]2015-2019'!V125</f>
        <v>370967.641</v>
      </c>
      <c r="G125" s="32">
        <f>'[9]2015 - 2019'!W125+'[10]2016-2021'!W125</f>
        <v>327113.20004999998</v>
      </c>
      <c r="H125" s="32">
        <f>'[11]2016 - 2021'!X125+'[12]2016-2021'!X125</f>
        <v>284276.79618</v>
      </c>
      <c r="I125" s="32">
        <f>'[13]2016 - 2021'!Y125+'[14]2016-2021'!Y125</f>
        <v>310836.69998999999</v>
      </c>
      <c r="J125" s="32">
        <f>'[15]2016 - 2021'!Z125+'[16]2016-2021'!Z125</f>
        <v>301005.08445999998</v>
      </c>
      <c r="K125" s="32">
        <f>'[17]2018 - 2022'!S125+'[18]2018-2022'!S125</f>
        <v>261356.70915000001</v>
      </c>
      <c r="L125" s="32">
        <f>'[19]2018 - 2022'!T125+'[20]2018-2022'!T125</f>
        <v>281258.75771999999</v>
      </c>
      <c r="M125" s="32">
        <f>'[21]2018 - 2022'!U125+'[22]2018-2022'!U125</f>
        <v>292361.5906</v>
      </c>
      <c r="N125" s="32">
        <f>'[23]2018 - 2023'!V125+'[24]2018-2023'!V125</f>
        <v>326154.18641999998</v>
      </c>
      <c r="O125" s="32">
        <f>'[23]2018 - 2023'!W125+'[24]2018-2023'!W125</f>
        <v>337527.75325000001</v>
      </c>
      <c r="P125" s="32">
        <f>'[25]2018 - 2023'!X125+'[26]2018-2023'!X125</f>
        <v>389514.26419999998</v>
      </c>
      <c r="Q125" s="32">
        <f>'[27]2018 - 2023'!Y125+'[28]2018-2023'!Y125</f>
        <v>1050142.9938699999</v>
      </c>
      <c r="R125" s="32">
        <f>'[29]2018 - 2023'!Z125+'[30]2018-2023'!Z125</f>
        <v>552760.46999000001</v>
      </c>
      <c r="S125" s="32">
        <f>'[31]2020 - 2024'!S125+'[32]2020-2024'!S125</f>
        <v>634348.40037000005</v>
      </c>
      <c r="T125" s="32">
        <f>'[33]2020 - 2024'!T125+'[34]2020-2024'!T125</f>
        <v>676309.74896</v>
      </c>
      <c r="U125" s="32">
        <f>'[35]2020 - 2024'!U125+'[36]2020-2024'!U125</f>
        <v>805959.75256000005</v>
      </c>
      <c r="V125" s="32">
        <f>'[37]2020 - 2024'!V125+'[38]2020-2024'!V125</f>
        <v>691673.07360999996</v>
      </c>
      <c r="W125" s="32">
        <f>'[39]2020 - 2025'!W125+'[40]2020-2025'!W125</f>
        <v>680207.40946999996</v>
      </c>
      <c r="X125" s="32">
        <f>'[41]2020 - 2025'!X125+'[42]2020-2025'!X125</f>
        <v>626016.55293999997</v>
      </c>
      <c r="Y125" s="32">
        <f>'[43]2020 - 2025'!Y125+'[44]2020-2025'!Y125</f>
        <v>566227.31453000009</v>
      </c>
      <c r="Z125" s="32">
        <f>'[45]2020 - 2025'!Z125+'[46]2020-2025'!Z125</f>
        <v>812315.45543000009</v>
      </c>
      <c r="AA125" s="32">
        <f>'[47]2020 - 2026'!AA125+'[48]2020-2026'!AA125</f>
        <v>591471.89509000001</v>
      </c>
    </row>
    <row r="126" spans="1:29" ht="15" customHeight="1" x14ac:dyDescent="0.15">
      <c r="B126" s="2" t="s">
        <v>88</v>
      </c>
      <c r="C126" s="32">
        <f>'[1]2015 - 2019'!S126+'[2]2015-2019'!S126</f>
        <v>616966</v>
      </c>
      <c r="D126" s="32">
        <f>'[3]2015 - 2019'!T126+'[4]2015-2019'!T126</f>
        <v>593459</v>
      </c>
      <c r="E126" s="32">
        <f>'[5]2015 - 2019'!U126+'[6]2015-2019'!U126</f>
        <v>581049</v>
      </c>
      <c r="F126" s="32">
        <f>'[7]2015 - 2019'!V126+'[8]2015-2019'!V126</f>
        <v>558111.69200000004</v>
      </c>
      <c r="G126" s="32">
        <f>'[9]2015 - 2019'!W126+'[10]2016-2021'!W126</f>
        <v>530714.42706000002</v>
      </c>
      <c r="H126" s="32">
        <f>'[11]2016 - 2021'!X126+'[12]2016-2021'!X126</f>
        <v>517224.68049</v>
      </c>
      <c r="I126" s="32">
        <f>'[13]2016 - 2021'!Y126+'[14]2016-2021'!Y126</f>
        <v>513656.38997000002</v>
      </c>
      <c r="J126" s="32">
        <f>'[15]2016 - 2021'!Z126+'[16]2016-2021'!Z126</f>
        <v>501754.08502</v>
      </c>
      <c r="K126" s="32">
        <f>'[17]2018 - 2022'!S126+'[18]2018-2022'!S126</f>
        <v>522070.33847999998</v>
      </c>
      <c r="L126" s="32">
        <f>'[19]2018 - 2022'!T126+'[20]2018-2022'!T126</f>
        <v>510256.82446999999</v>
      </c>
      <c r="M126" s="32">
        <f>'[21]2018 - 2022'!U126+'[22]2018-2022'!U126</f>
        <v>531325.66211999999</v>
      </c>
      <c r="N126" s="32">
        <f>'[23]2018 - 2023'!V126+'[24]2018-2023'!V126</f>
        <v>541852.54423999996</v>
      </c>
      <c r="O126" s="32">
        <f>'[23]2018 - 2023'!W126+'[24]2018-2023'!W126</f>
        <v>586103.23326000001</v>
      </c>
      <c r="P126" s="32">
        <f>'[25]2018 - 2023'!X126+'[26]2018-2023'!X126</f>
        <v>621456.29749000003</v>
      </c>
      <c r="Q126" s="32">
        <f>'[27]2018 - 2023'!Y126+'[28]2018-2023'!Y126</f>
        <v>678698.39581000002</v>
      </c>
      <c r="R126" s="32">
        <f>'[29]2018 - 2023'!Z126+'[30]2018-2023'!Z126</f>
        <v>727433.71531</v>
      </c>
      <c r="S126" s="32">
        <f>'[31]2020 - 2024'!S126+'[32]2020-2024'!S126</f>
        <v>801433.35138000001</v>
      </c>
      <c r="T126" s="32">
        <f>'[33]2020 - 2024'!T126+'[34]2020-2024'!T126</f>
        <v>775222.34865000006</v>
      </c>
      <c r="U126" s="32">
        <f>'[35]2020 - 2024'!U126+'[36]2020-2024'!U126</f>
        <v>778500.11907000002</v>
      </c>
      <c r="V126" s="32">
        <f>'[37]2020 - 2024'!V126+'[38]2020-2024'!V126</f>
        <v>796477.06772000005</v>
      </c>
      <c r="W126" s="32">
        <f>'[39]2020 - 2025'!W126+'[40]2020-2025'!W126</f>
        <v>825448.35299000004</v>
      </c>
      <c r="X126" s="32">
        <f>'[41]2020 - 2025'!X126+'[42]2020-2025'!X126</f>
        <v>835966.65130999999</v>
      </c>
      <c r="Y126" s="32">
        <f>'[43]2020 - 2025'!Y126+'[44]2020-2025'!Y126</f>
        <v>810886.16383999994</v>
      </c>
      <c r="Z126" s="32">
        <f>'[45]2020 - 2025'!Z126+'[46]2020-2025'!Z126</f>
        <v>809810.92091999995</v>
      </c>
      <c r="AA126" s="32">
        <f>'[47]2020 - 2026'!AA126+'[48]2020-2026'!AA126</f>
        <v>842014.65504999994</v>
      </c>
    </row>
    <row r="127" spans="1:29" ht="15" customHeight="1" x14ac:dyDescent="0.15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9" ht="15" customHeight="1" x14ac:dyDescent="0.15">
      <c r="A128" s="4">
        <v>11</v>
      </c>
      <c r="B128" s="43" t="s">
        <v>39</v>
      </c>
      <c r="C128" s="19">
        <f t="shared" ref="C128:H128" si="194">SUM(C129:C133)</f>
        <v>3968385</v>
      </c>
      <c r="D128" s="19">
        <f t="shared" si="194"/>
        <v>3537577</v>
      </c>
      <c r="E128" s="19">
        <f t="shared" si="194"/>
        <v>4960171</v>
      </c>
      <c r="F128" s="19">
        <f t="shared" si="194"/>
        <v>3905081.8570000003</v>
      </c>
      <c r="G128" s="19">
        <f t="shared" si="194"/>
        <v>3948865.2792500001</v>
      </c>
      <c r="H128" s="19">
        <f t="shared" si="194"/>
        <v>3863193.3548000003</v>
      </c>
      <c r="I128" s="19">
        <f t="shared" ref="I128:J128" si="195">SUM(I129:I133)</f>
        <v>4265668.7609999999</v>
      </c>
      <c r="J128" s="19">
        <f t="shared" si="195"/>
        <v>3976023.2789499997</v>
      </c>
      <c r="K128" s="19">
        <f t="shared" ref="K128:L128" si="196">SUM(K129:K133)</f>
        <v>4659350.05932</v>
      </c>
      <c r="L128" s="19">
        <f t="shared" si="196"/>
        <v>3861458.2988800001</v>
      </c>
      <c r="M128" s="19">
        <f t="shared" ref="M128" si="197">SUM(M129:M133)</f>
        <v>3928436.7074800003</v>
      </c>
      <c r="N128" s="19">
        <f t="shared" ref="N128:O128" si="198">SUM(N129:N133)</f>
        <v>4090053.7233599997</v>
      </c>
      <c r="O128" s="19">
        <f t="shared" si="198"/>
        <v>4368476.7424500007</v>
      </c>
      <c r="P128" s="19">
        <f t="shared" ref="P128:Q128" si="199">SUM(P129:P133)</f>
        <v>4500193.4418700002</v>
      </c>
      <c r="Q128" s="19">
        <f t="shared" si="199"/>
        <v>5715239.3366900003</v>
      </c>
      <c r="R128" s="19">
        <f t="shared" ref="R128:S128" si="200">SUM(R129:R133)</f>
        <v>4625521.6459000008</v>
      </c>
      <c r="S128" s="19">
        <f t="shared" si="200"/>
        <v>4533648.7414199999</v>
      </c>
      <c r="T128" s="19">
        <f t="shared" ref="T128:U128" si="201">SUM(T129:T133)</f>
        <v>3799125.9885299997</v>
      </c>
      <c r="U128" s="19">
        <f t="shared" si="201"/>
        <v>3612773.8527100002</v>
      </c>
      <c r="V128" s="19">
        <f t="shared" ref="V128" si="202">SUM(V129:V133)</f>
        <v>3221752.4101900002</v>
      </c>
      <c r="W128" s="19">
        <f>'[39]2020 - 2025'!W128+'[40]2020-2025'!W128</f>
        <v>2929302.59662</v>
      </c>
      <c r="X128" s="19">
        <f>'[41]2020 - 2025'!X128+'[42]2020-2025'!X128</f>
        <v>3056362.1972699999</v>
      </c>
      <c r="Y128" s="19">
        <f>'[43]2020 - 2025'!Y128+'[44]2020-2025'!Y128</f>
        <v>3703744.3117000004</v>
      </c>
      <c r="Z128" s="19">
        <f>'[45]2020 - 2025'!Z128+'[46]2020-2025'!Z128</f>
        <v>2874856.5821099998</v>
      </c>
      <c r="AA128" s="19">
        <f>'[47]2020 - 2026'!AA128+'[48]2020-2026'!AA128</f>
        <v>2804123.5041300002</v>
      </c>
    </row>
    <row r="129" spans="1:27" ht="15" customHeight="1" x14ac:dyDescent="0.15">
      <c r="B129" s="16" t="s">
        <v>20</v>
      </c>
      <c r="C129" s="32">
        <f>'[1]2015 - 2019'!S129+'[2]2015-2019'!S129</f>
        <v>1466379</v>
      </c>
      <c r="D129" s="32">
        <f>'[3]2015 - 2019'!T129+'[4]2015-2019'!T129</f>
        <v>1234978</v>
      </c>
      <c r="E129" s="32">
        <f>'[5]2015 - 2019'!U129+'[6]2015-2019'!U129</f>
        <v>1448705</v>
      </c>
      <c r="F129" s="32">
        <f>'[7]2015 - 2019'!V129+'[8]2015-2019'!V129</f>
        <v>1438386.9439999999</v>
      </c>
      <c r="G129" s="32">
        <f>'[9]2015 - 2019'!W129+'[10]2016-2021'!W129</f>
        <v>1340277.08201</v>
      </c>
      <c r="H129" s="32">
        <f>'[11]2016 - 2021'!X129+'[12]2016-2021'!X129</f>
        <v>1320239.79926</v>
      </c>
      <c r="I129" s="32">
        <f>'[13]2016 - 2021'!Y129+'[14]2016-2021'!Y129</f>
        <v>1338642.1513100001</v>
      </c>
      <c r="J129" s="32">
        <f>'[15]2016 - 2021'!Z129+'[16]2016-2021'!Z129</f>
        <v>1143008.3060300001</v>
      </c>
      <c r="K129" s="32">
        <f>'[17]2018 - 2022'!S129+'[18]2018-2022'!S129</f>
        <v>1147763.0626699999</v>
      </c>
      <c r="L129" s="32">
        <f>'[19]2018 - 2022'!T129+'[20]2018-2022'!T129</f>
        <v>1059964.8947099999</v>
      </c>
      <c r="M129" s="32">
        <f>'[21]2018 - 2022'!U129+'[22]2018-2022'!U129</f>
        <v>1271626.35096</v>
      </c>
      <c r="N129" s="32">
        <f>'[23]2018 - 2023'!V129+'[24]2018-2023'!V129</f>
        <v>1387373.79816</v>
      </c>
      <c r="O129" s="32">
        <f>'[23]2018 - 2023'!W129+'[24]2018-2023'!W129</f>
        <v>1541481.5098900001</v>
      </c>
      <c r="P129" s="32">
        <f>'[25]2018 - 2023'!X129+'[26]2018-2023'!X129</f>
        <v>1589105.7536899999</v>
      </c>
      <c r="Q129" s="32">
        <f>'[27]2018 - 2023'!Y129+'[28]2018-2023'!Y129</f>
        <v>1614142.4466799998</v>
      </c>
      <c r="R129" s="32">
        <f>'[29]2018 - 2023'!Z129+'[30]2018-2023'!Z129</f>
        <v>1527271.4008599999</v>
      </c>
      <c r="S129" s="32">
        <f>'[31]2020 - 2024'!S129+'[32]2020-2024'!S129</f>
        <v>1373814.8119399999</v>
      </c>
      <c r="T129" s="32">
        <f>'[33]2020 - 2024'!T129+'[34]2020-2024'!T129</f>
        <v>1221723.6856099998</v>
      </c>
      <c r="U129" s="32">
        <f>'[35]2020 - 2024'!U129+'[36]2020-2024'!U129</f>
        <v>961339.84829999995</v>
      </c>
      <c r="V129" s="32">
        <f>'[37]2020 - 2024'!V129+'[38]2020-2024'!V129</f>
        <v>524155.84765000001</v>
      </c>
      <c r="W129" s="32">
        <f>'[39]2020 - 2025'!W129+'[40]2020-2025'!W129</f>
        <v>156483.35242000001</v>
      </c>
      <c r="X129" s="32">
        <f>'[41]2020 - 2025'!X129+'[42]2020-2025'!X129</f>
        <v>242096.58476</v>
      </c>
      <c r="Y129" s="32">
        <f>'[43]2020 - 2025'!Y129+'[44]2020-2025'!Y129</f>
        <v>238771.49315999998</v>
      </c>
      <c r="Z129" s="32">
        <f>'[45]2020 - 2025'!Z129+'[46]2020-2025'!Z129</f>
        <v>158663.29642999999</v>
      </c>
      <c r="AA129" s="32">
        <f>'[47]2020 - 2026'!AA129+'[48]2020-2026'!AA129</f>
        <v>160713.37172</v>
      </c>
    </row>
    <row r="130" spans="1:27" ht="15" customHeight="1" x14ac:dyDescent="0.15">
      <c r="B130" s="2" t="s">
        <v>47</v>
      </c>
      <c r="C130" s="32">
        <f>'[1]2015 - 2019'!S130+'[2]2015-2019'!S130</f>
        <v>76994</v>
      </c>
      <c r="D130" s="32">
        <f>'[3]2015 - 2019'!T130+'[4]2015-2019'!T130</f>
        <v>76240</v>
      </c>
      <c r="E130" s="32">
        <f>'[5]2015 - 2019'!U130+'[6]2015-2019'!U130</f>
        <v>65223</v>
      </c>
      <c r="F130" s="32">
        <f>'[7]2015 - 2019'!V130+'[8]2015-2019'!V130</f>
        <v>67972.587</v>
      </c>
      <c r="G130" s="32">
        <f>'[9]2015 - 2019'!W130+'[10]2016-2021'!W130</f>
        <v>73102.866120000006</v>
      </c>
      <c r="H130" s="32">
        <f>'[11]2016 - 2021'!X130+'[12]2016-2021'!X130</f>
        <v>67479.262090000004</v>
      </c>
      <c r="I130" s="32">
        <f>'[13]2016 - 2021'!Y130+'[14]2016-2021'!Y130</f>
        <v>64328.890659999997</v>
      </c>
      <c r="J130" s="32">
        <f>'[15]2016 - 2021'!Z130+'[16]2016-2021'!Z130</f>
        <v>71589.218560000008</v>
      </c>
      <c r="K130" s="32">
        <f>'[17]2018 - 2022'!S130+'[18]2018-2022'!S130</f>
        <v>104230.46431</v>
      </c>
      <c r="L130" s="32">
        <f>'[19]2018 - 2022'!T130+'[20]2018-2022'!T130</f>
        <v>106638.17884000001</v>
      </c>
      <c r="M130" s="32">
        <f>'[21]2018 - 2022'!U130+'[22]2018-2022'!U130</f>
        <v>91394.881140000012</v>
      </c>
      <c r="N130" s="32">
        <f>'[23]2018 - 2023'!V130+'[24]2018-2023'!V130</f>
        <v>16033.52038</v>
      </c>
      <c r="O130" s="32">
        <f>'[23]2018 - 2023'!W130+'[24]2018-2023'!W130</f>
        <v>10938.14293</v>
      </c>
      <c r="P130" s="32">
        <f>'[25]2018 - 2023'!X130+'[26]2018-2023'!X130</f>
        <v>21452.103190000002</v>
      </c>
      <c r="Q130" s="32">
        <f>'[27]2018 - 2023'!Y130+'[28]2018-2023'!Y130</f>
        <v>11022.73575</v>
      </c>
      <c r="R130" s="32">
        <f>'[29]2018 - 2023'!Z130+'[30]2018-2023'!Z130</f>
        <v>21988.47582</v>
      </c>
      <c r="S130" s="32">
        <f>'[31]2020 - 2024'!S130+'[32]2020-2024'!S130</f>
        <v>15532.73667</v>
      </c>
      <c r="T130" s="32">
        <f>'[33]2020 - 2024'!T130+'[34]2020-2024'!T130</f>
        <v>19522.495449999999</v>
      </c>
      <c r="U130" s="32">
        <f>'[35]2020 - 2024'!U130+'[36]2020-2024'!U130</f>
        <v>11965.36001</v>
      </c>
      <c r="V130" s="32">
        <f>'[37]2020 - 2024'!V130+'[38]2020-2024'!V130</f>
        <v>15707.642</v>
      </c>
      <c r="W130" s="32">
        <f>'[39]2020 - 2025'!W130+'[40]2020-2025'!W130</f>
        <v>11455.41021</v>
      </c>
      <c r="X130" s="32">
        <f>'[41]2020 - 2025'!X130+'[42]2020-2025'!X130</f>
        <v>12929.48605</v>
      </c>
      <c r="Y130" s="32">
        <f>'[43]2020 - 2025'!Y130+'[44]2020-2025'!Y130</f>
        <v>11504.9056</v>
      </c>
      <c r="Z130" s="32">
        <f>'[45]2020 - 2025'!Z130+'[46]2020-2025'!Z130</f>
        <v>15682.60115</v>
      </c>
      <c r="AA130" s="32">
        <f>'[47]2020 - 2026'!AA130+'[48]2020-2026'!AA130</f>
        <v>13625.302609999999</v>
      </c>
    </row>
    <row r="131" spans="1:27" ht="15" customHeight="1" x14ac:dyDescent="0.15">
      <c r="B131" s="12" t="s">
        <v>64</v>
      </c>
      <c r="C131" s="32">
        <f>'[1]2015 - 2019'!S131+'[2]2015-2019'!S131</f>
        <v>1058020</v>
      </c>
      <c r="D131" s="32">
        <f>'[3]2015 - 2019'!T131+'[4]2015-2019'!T131</f>
        <v>951904</v>
      </c>
      <c r="E131" s="32">
        <f>'[5]2015 - 2019'!U131+'[6]2015-2019'!U131</f>
        <v>797939</v>
      </c>
      <c r="F131" s="32">
        <f>'[7]2015 - 2019'!V131+'[8]2015-2019'!V131</f>
        <v>1073537.6540000001</v>
      </c>
      <c r="G131" s="32">
        <f>'[9]2015 - 2019'!W131+'[10]2016-2021'!W131</f>
        <v>1162504.88818</v>
      </c>
      <c r="H131" s="32">
        <f>'[11]2016 - 2021'!X131+'[12]2016-2021'!X131</f>
        <v>1121724.4659</v>
      </c>
      <c r="I131" s="32">
        <f>'[13]2016 - 2021'!Y131+'[14]2016-2021'!Y131</f>
        <v>1396864.6893500001</v>
      </c>
      <c r="J131" s="32">
        <f>'[15]2016 - 2021'!Z131+'[16]2016-2021'!Z131</f>
        <v>1290828.78856</v>
      </c>
      <c r="K131" s="32">
        <f>'[17]2018 - 2022'!S131+'[18]2018-2022'!S131</f>
        <v>1963238.94044</v>
      </c>
      <c r="L131" s="32">
        <f>'[19]2018 - 2022'!T131+'[20]2018-2022'!T131</f>
        <v>1303740.20927</v>
      </c>
      <c r="M131" s="32">
        <f>'[21]2018 - 2022'!U131+'[22]2018-2022'!U131</f>
        <v>1210030.46948</v>
      </c>
      <c r="N131" s="32">
        <f>'[23]2018 - 2023'!V131+'[24]2018-2023'!V131</f>
        <v>1197699.602</v>
      </c>
      <c r="O131" s="32">
        <f>'[23]2018 - 2023'!W131+'[24]2018-2023'!W131</f>
        <v>1392902.45881</v>
      </c>
      <c r="P131" s="32">
        <f>'[25]2018 - 2023'!X131+'[26]2018-2023'!X131</f>
        <v>1250332.43347</v>
      </c>
      <c r="Q131" s="32">
        <f>'[27]2018 - 2023'!Y131+'[28]2018-2023'!Y131</f>
        <v>2509489.3953200001</v>
      </c>
      <c r="R131" s="32">
        <f>'[29]2018 - 2023'!Z131+'[30]2018-2023'!Z131</f>
        <v>1482921.3515300001</v>
      </c>
      <c r="S131" s="32">
        <f>'[31]2020 - 2024'!S131+'[32]2020-2024'!S131</f>
        <v>1471145.3057800001</v>
      </c>
      <c r="T131" s="32">
        <f>'[33]2020 - 2024'!T131+'[34]2020-2024'!T131</f>
        <v>1088841.8844699999</v>
      </c>
      <c r="U131" s="32">
        <f>'[35]2020 - 2024'!U131+'[36]2020-2024'!U131</f>
        <v>1170143.39649</v>
      </c>
      <c r="V131" s="32">
        <f>'[37]2020 - 2024'!V131+'[38]2020-2024'!V131</f>
        <v>1217149.0369200001</v>
      </c>
      <c r="W131" s="32">
        <f>'[39]2020 - 2025'!W131+'[40]2020-2025'!W131</f>
        <v>1328793.8157200001</v>
      </c>
      <c r="X131" s="32">
        <f>'[41]2020 - 2025'!X131+'[42]2020-2025'!X131</f>
        <v>1412666.30027</v>
      </c>
      <c r="Y131" s="32">
        <f>'[43]2020 - 2025'!Y131+'[44]2020-2025'!Y131</f>
        <v>2097533.3174300003</v>
      </c>
      <c r="Z131" s="32">
        <f>'[45]2020 - 2025'!Z131+'[46]2020-2025'!Z131</f>
        <v>1309969.5381</v>
      </c>
      <c r="AA131" s="32">
        <f>'[47]2020 - 2026'!AA131+'[48]2020-2026'!AA131</f>
        <v>1199284.4112199999</v>
      </c>
    </row>
    <row r="132" spans="1:27" ht="15" customHeight="1" x14ac:dyDescent="0.15">
      <c r="B132" s="12" t="s">
        <v>81</v>
      </c>
      <c r="C132" s="32">
        <f>'[1]2015 - 2019'!S132+'[2]2015-2019'!S132</f>
        <v>699789</v>
      </c>
      <c r="D132" s="32">
        <f>'[3]2015 - 2019'!T132+'[4]2015-2019'!T132</f>
        <v>608615</v>
      </c>
      <c r="E132" s="32">
        <f>'[5]2015 - 2019'!U132+'[6]2015-2019'!U132</f>
        <v>1973734</v>
      </c>
      <c r="F132" s="32">
        <f>'[7]2015 - 2019'!V132+'[8]2015-2019'!V132</f>
        <v>659797.652</v>
      </c>
      <c r="G132" s="32">
        <f>'[9]2015 - 2019'!W132+'[10]2016-2021'!W132</f>
        <v>695881.32585000002</v>
      </c>
      <c r="H132" s="32">
        <f>'[11]2016 - 2021'!X132+'[12]2016-2021'!X132</f>
        <v>670011.63584999996</v>
      </c>
      <c r="I132" s="32">
        <f>'[13]2016 - 2021'!Y132+'[14]2016-2021'!Y132</f>
        <v>750659.86728999997</v>
      </c>
      <c r="J132" s="32">
        <f>'[15]2016 - 2021'!Z132+'[16]2016-2021'!Z132</f>
        <v>761501.80156000005</v>
      </c>
      <c r="K132" s="32">
        <f>'[17]2018 - 2022'!S132+'[18]2018-2022'!S132</f>
        <v>740211.82291999995</v>
      </c>
      <c r="L132" s="32">
        <f>'[19]2018 - 2022'!T132+'[20]2018-2022'!T132</f>
        <v>685234.76165</v>
      </c>
      <c r="M132" s="32">
        <f>'[21]2018 - 2022'!U132+'[22]2018-2022'!U132</f>
        <v>696198.66014000005</v>
      </c>
      <c r="N132" s="32">
        <f>'[23]2018 - 2023'!V132+'[24]2018-2023'!V132</f>
        <v>845798.27078999998</v>
      </c>
      <c r="O132" s="32">
        <f>'[23]2018 - 2023'!W132+'[24]2018-2023'!W132</f>
        <v>750634.99028000003</v>
      </c>
      <c r="P132" s="32">
        <f>'[25]2018 - 2023'!X132+'[26]2018-2023'!X132</f>
        <v>823690.21398999996</v>
      </c>
      <c r="Q132" s="32">
        <f>'[27]2018 - 2023'!Y132+'[28]2018-2023'!Y132</f>
        <v>789307.62511000002</v>
      </c>
      <c r="R132" s="32">
        <f>'[29]2018 - 2023'!Z132+'[30]2018-2023'!Z132</f>
        <v>783990.61499999999</v>
      </c>
      <c r="S132" s="32">
        <f>'[31]2020 - 2024'!S132+'[32]2020-2024'!S132</f>
        <v>893752.71586</v>
      </c>
      <c r="T132" s="32">
        <f>'[33]2020 - 2024'!T132+'[34]2020-2024'!T132</f>
        <v>734213.31056000001</v>
      </c>
      <c r="U132" s="32">
        <f>'[35]2020 - 2024'!U132+'[36]2020-2024'!U132</f>
        <v>735289.38317000004</v>
      </c>
      <c r="V132" s="32">
        <f>'[37]2020 - 2024'!V132+'[38]2020-2024'!V132</f>
        <v>753554.67857999995</v>
      </c>
      <c r="W132" s="32">
        <f>'[39]2020 - 2025'!W132+'[40]2020-2025'!W132</f>
        <v>766353.04807000002</v>
      </c>
      <c r="X132" s="32">
        <f>'[41]2020 - 2025'!X132+'[42]2020-2025'!X132</f>
        <v>726625.18834999995</v>
      </c>
      <c r="Y132" s="32">
        <f>'[43]2020 - 2025'!Y132+'[44]2020-2025'!Y132</f>
        <v>700231.97137000004</v>
      </c>
      <c r="Z132" s="32">
        <f>'[45]2020 - 2025'!Z132+'[46]2020-2025'!Z132</f>
        <v>704850.06600999995</v>
      </c>
      <c r="AA132" s="32">
        <f>'[47]2020 - 2026'!AA132+'[48]2020-2026'!AA132</f>
        <v>731556.38335999998</v>
      </c>
    </row>
    <row r="133" spans="1:27" ht="15" customHeight="1" x14ac:dyDescent="0.15">
      <c r="B133" s="12" t="s">
        <v>84</v>
      </c>
      <c r="C133" s="32">
        <f>'[1]2015 - 2019'!S133+'[2]2015-2019'!S133</f>
        <v>667203</v>
      </c>
      <c r="D133" s="32">
        <f>'[3]2015 - 2019'!T133+'[4]2015-2019'!T133</f>
        <v>665840</v>
      </c>
      <c r="E133" s="32">
        <f>'[5]2015 - 2019'!U133+'[6]2015-2019'!U133</f>
        <v>674570</v>
      </c>
      <c r="F133" s="32">
        <f>'[7]2015 - 2019'!V133+'[8]2015-2019'!V133</f>
        <v>665387.02</v>
      </c>
      <c r="G133" s="32">
        <f>'[9]2015 - 2019'!W133+'[10]2016-2021'!W133</f>
        <v>677099.11708999996</v>
      </c>
      <c r="H133" s="32">
        <f>'[11]2016 - 2021'!X133+'[12]2016-2021'!X133</f>
        <v>683738.19169999997</v>
      </c>
      <c r="I133" s="32">
        <f>'[13]2016 - 2021'!Y133+'[14]2016-2021'!Y133</f>
        <v>715173.16238999995</v>
      </c>
      <c r="J133" s="32">
        <f>'[15]2016 - 2021'!Z133+'[16]2016-2021'!Z133</f>
        <v>709095.16423999995</v>
      </c>
      <c r="K133" s="32">
        <f>'[17]2018 - 2022'!S133+'[18]2018-2022'!S133</f>
        <v>703905.76898000005</v>
      </c>
      <c r="L133" s="32">
        <f>'[19]2018 - 2022'!T133+'[20]2018-2022'!T133</f>
        <v>705880.25440999994</v>
      </c>
      <c r="M133" s="32">
        <f>'[21]2018 - 2022'!U133+'[22]2018-2022'!U133</f>
        <v>659186.34576000005</v>
      </c>
      <c r="N133" s="32">
        <f>'[23]2018 - 2023'!V133+'[24]2018-2023'!V133</f>
        <v>643148.53203</v>
      </c>
      <c r="O133" s="32">
        <f>'[23]2018 - 2023'!W133+'[24]2018-2023'!W133</f>
        <v>672519.64054000005</v>
      </c>
      <c r="P133" s="32">
        <f>'[25]2018 - 2023'!X133+'[26]2018-2023'!X133</f>
        <v>815612.93753</v>
      </c>
      <c r="Q133" s="32">
        <f>'[27]2018 - 2023'!Y133+'[28]2018-2023'!Y133</f>
        <v>791277.13383000006</v>
      </c>
      <c r="R133" s="32">
        <f>'[29]2018 - 2023'!Z133+'[30]2018-2023'!Z133</f>
        <v>809349.80269000004</v>
      </c>
      <c r="S133" s="32">
        <f>'[31]2020 - 2024'!S133+'[32]2020-2024'!S133</f>
        <v>779403.1711700001</v>
      </c>
      <c r="T133" s="32">
        <f>'[33]2020 - 2024'!T133+'[34]2020-2024'!T133</f>
        <v>734824.61243999994</v>
      </c>
      <c r="U133" s="32">
        <f>'[35]2020 - 2024'!U133+'[36]2020-2024'!U133</f>
        <v>734035.86473999999</v>
      </c>
      <c r="V133" s="32">
        <f>'[37]2020 - 2024'!V133+'[38]2020-2024'!V133</f>
        <v>711185.20504000003</v>
      </c>
      <c r="W133" s="32">
        <f>'[39]2020 - 2025'!W133+'[40]2020-2025'!W133</f>
        <v>666216.97019999998</v>
      </c>
      <c r="X133" s="32">
        <f>'[41]2020 - 2025'!X133+'[42]2020-2025'!X133</f>
        <v>662044.63783999998</v>
      </c>
      <c r="Y133" s="32">
        <f>'[43]2020 - 2025'!Y133+'[44]2020-2025'!Y133</f>
        <v>655702.62414000009</v>
      </c>
      <c r="Z133" s="32">
        <f>'[45]2020 - 2025'!Z133+'[46]2020-2025'!Z133</f>
        <v>685691.08042000001</v>
      </c>
      <c r="AA133" s="32">
        <f>'[47]2020 - 2026'!AA133+'[48]2020-2026'!AA133</f>
        <v>698944.03521999996</v>
      </c>
    </row>
    <row r="134" spans="1:27" ht="12" customHeight="1" x14ac:dyDescent="0.15">
      <c r="B134" s="21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1:27" ht="15.95" customHeight="1" x14ac:dyDescent="0.15">
      <c r="A135" s="4">
        <v>12</v>
      </c>
      <c r="B135" s="7" t="s">
        <v>58</v>
      </c>
      <c r="C135" s="19">
        <f>'[1]2015 - 2019'!S135+'[2]2015-2019'!S135</f>
        <v>900000</v>
      </c>
      <c r="D135" s="19">
        <f>'[3]2015 - 2019'!T135+'[4]2015-2019'!T135</f>
        <v>35252</v>
      </c>
      <c r="E135" s="19">
        <f>'[5]2015 - 2019'!U135+'[6]2015-2019'!U135</f>
        <v>0</v>
      </c>
      <c r="F135" s="19">
        <f>'[7]2015 - 2019'!V135+'[8]2015-2019'!V135</f>
        <v>0</v>
      </c>
      <c r="G135" s="19">
        <f>'[9]2015 - 2019'!W135+'[10]2016-2021'!W135</f>
        <v>890.04376999999999</v>
      </c>
      <c r="H135" s="19">
        <f>'[11]2016 - 2021'!X135+'[12]2016-2021'!X135</f>
        <v>490.00540000000001</v>
      </c>
      <c r="I135" s="19">
        <f>'[13]2016 - 2021'!Y135+'[14]2016-2021'!Y135</f>
        <v>292150.27237999998</v>
      </c>
      <c r="J135" s="19">
        <f>'[15]2016 - 2021'!Z135+'[16]2016-2021'!Z135</f>
        <v>766.97799999999995</v>
      </c>
      <c r="K135" s="19">
        <f>'[17]2018 - 2022'!S135+'[18]2018-2022'!S135</f>
        <v>18242.317750000002</v>
      </c>
      <c r="L135" s="19">
        <f>'[19]2018 - 2022'!T135+'[20]2018-2022'!T135</f>
        <v>9928.5353400000004</v>
      </c>
      <c r="M135" s="19">
        <f>'[21]2018 - 2022'!U135+'[22]2018-2022'!U135</f>
        <v>1981.87562</v>
      </c>
      <c r="N135" s="19">
        <f>'[23]2018 - 2023'!V135+'[24]2018-2023'!V135</f>
        <v>127420.60123</v>
      </c>
      <c r="O135" s="19">
        <f>'[23]2018 - 2023'!W135+'[24]2018-2023'!W135</f>
        <v>106694.63163</v>
      </c>
      <c r="P135" s="19">
        <f>'[25]2018 - 2023'!X135+'[26]2018-2023'!X135</f>
        <v>79668.878509999995</v>
      </c>
      <c r="Q135" s="19">
        <f>'[27]2018 - 2023'!Y135+'[28]2018-2023'!Y135</f>
        <v>18556.13394</v>
      </c>
      <c r="R135" s="19">
        <f>'[29]2018 - 2023'!Z135+'[30]2018-2023'!Z135</f>
        <v>264270.89176000003</v>
      </c>
      <c r="S135" s="19">
        <f>'[31]2020 - 2024'!S135+'[32]2020-2024'!S135</f>
        <v>18659.22983</v>
      </c>
      <c r="T135" s="19">
        <f>'[33]2020 - 2024'!T135+'[34]2020-2024'!T135</f>
        <v>10440.60628</v>
      </c>
      <c r="U135" s="19">
        <f>'[35]2020 - 2024'!U135+'[36]2020-2024'!U135</f>
        <v>155815.47991000002</v>
      </c>
      <c r="V135" s="19">
        <f>'[37]2020 - 2024'!V135+'[38]2020-2024'!V135</f>
        <v>54609.326300000001</v>
      </c>
      <c r="W135" s="19">
        <f>'[39]2020 - 2025'!W135+'[40]2020-2025'!W135</f>
        <v>177192.34145000001</v>
      </c>
      <c r="X135" s="19">
        <f>'[41]2020 - 2025'!X135+'[42]2020-2025'!X135</f>
        <v>205068.16061999998</v>
      </c>
      <c r="Y135" s="19">
        <f>'[43]2020 - 2025'!Y135+'[44]2020-2025'!Y135</f>
        <v>132262.19105999998</v>
      </c>
      <c r="Z135" s="19">
        <f>'[45]2020 - 2025'!Z135+'[46]2020-2025'!Z135</f>
        <v>157375.1084</v>
      </c>
      <c r="AA135" s="19">
        <f>'[47]2020 - 2026'!AA135+'[48]2020-2026'!AA135</f>
        <v>121176.41205</v>
      </c>
    </row>
    <row r="136" spans="1:27" ht="15.95" customHeight="1" x14ac:dyDescent="0.15">
      <c r="A136" s="4">
        <v>13</v>
      </c>
      <c r="B136" s="7" t="s">
        <v>6</v>
      </c>
      <c r="C136" s="19">
        <f>'[1]2015 - 2019'!S136+'[2]2015-2019'!S136</f>
        <v>516881</v>
      </c>
      <c r="D136" s="19">
        <f>'[3]2015 - 2019'!T136+'[4]2015-2019'!T136</f>
        <v>417030</v>
      </c>
      <c r="E136" s="19">
        <f>'[5]2015 - 2019'!U136+'[6]2015-2019'!U136</f>
        <v>389047</v>
      </c>
      <c r="F136" s="19">
        <f>'[7]2015 - 2019'!V136+'[8]2015-2019'!V136</f>
        <v>419935.38399999996</v>
      </c>
      <c r="G136" s="19">
        <f>'[9]2015 - 2019'!W136+'[10]2016-2021'!W136</f>
        <v>564667.26490000007</v>
      </c>
      <c r="H136" s="19">
        <f>'[11]2016 - 2021'!X136+'[12]2016-2021'!X136</f>
        <v>455859.83519000001</v>
      </c>
      <c r="I136" s="19">
        <f>'[13]2016 - 2021'!Y136+'[14]2016-2021'!Y136</f>
        <v>422226.32019999996</v>
      </c>
      <c r="J136" s="19">
        <f>'[15]2016 - 2021'!Z136+'[16]2016-2021'!Z136</f>
        <v>364458.25393999997</v>
      </c>
      <c r="K136" s="19">
        <f>'[17]2018 - 2022'!S136+'[18]2018-2022'!S136</f>
        <v>441660.85978</v>
      </c>
      <c r="L136" s="19">
        <f>'[19]2018 - 2022'!T136+'[20]2018-2022'!T136</f>
        <v>393622.07069000002</v>
      </c>
      <c r="M136" s="19">
        <f>'[21]2018 - 2022'!U136+'[22]2018-2022'!U136</f>
        <v>905569.65046000003</v>
      </c>
      <c r="N136" s="19">
        <f>'[23]2018 - 2023'!V136+'[24]2018-2023'!V136</f>
        <v>465067.67154000001</v>
      </c>
      <c r="O136" s="19">
        <f>'[23]2018 - 2023'!W136+'[24]2018-2023'!W136</f>
        <v>353122.61286999978</v>
      </c>
      <c r="P136" s="19">
        <f>'[25]2018 - 2023'!X136+'[26]2018-2023'!X136</f>
        <v>449709.02688999998</v>
      </c>
      <c r="Q136" s="19">
        <f>'[27]2018 - 2023'!Y136+'[28]2018-2023'!Y136</f>
        <v>493986.72276999999</v>
      </c>
      <c r="R136" s="19">
        <f>'[29]2018 - 2023'!Z136+'[30]2018-2023'!Z136</f>
        <v>520831.83511000004</v>
      </c>
      <c r="S136" s="19">
        <f>'[31]2020 - 2024'!S136+'[32]2020-2024'!S136</f>
        <v>539837.70713</v>
      </c>
      <c r="T136" s="19">
        <f>'[33]2020 - 2024'!T136+'[34]2020-2024'!T136</f>
        <v>685228.23774000001</v>
      </c>
      <c r="U136" s="19">
        <f>'[35]2020 - 2024'!U136+'[36]2020-2024'!U136</f>
        <v>699024.16604000004</v>
      </c>
      <c r="V136" s="19">
        <f>'[37]2020 - 2024'!V136+'[38]2020-2024'!V136</f>
        <v>769505.6706699999</v>
      </c>
      <c r="W136" s="19">
        <f>'[39]2020 - 2025'!W136+'[40]2020-2025'!W136</f>
        <v>658703.78927999991</v>
      </c>
      <c r="X136" s="19">
        <f>'[41]2020 - 2025'!X136+'[42]2020-2025'!X136</f>
        <v>875152.33383999998</v>
      </c>
      <c r="Y136" s="19">
        <f>'[43]2020 - 2025'!Y136+'[44]2020-2025'!Y136</f>
        <v>650217.5822699999</v>
      </c>
      <c r="Z136" s="19">
        <f>'[45]2020 - 2025'!Z136+'[46]2020-2025'!Z136</f>
        <v>577191.30648999999</v>
      </c>
      <c r="AA136" s="19">
        <f>'[47]2020 - 2026'!AA136+'[48]2020-2026'!AA136</f>
        <v>890557.21950999997</v>
      </c>
    </row>
    <row r="137" spans="1:27" ht="15.95" customHeight="1" x14ac:dyDescent="0.15">
      <c r="A137" s="4">
        <v>14</v>
      </c>
      <c r="B137" s="7" t="s">
        <v>7</v>
      </c>
      <c r="C137" s="19">
        <f t="shared" ref="C137:H137" si="203">+C96+C135+C136</f>
        <v>17606183</v>
      </c>
      <c r="D137" s="19">
        <f t="shared" si="203"/>
        <v>16179512</v>
      </c>
      <c r="E137" s="19">
        <f t="shared" si="203"/>
        <v>17455232</v>
      </c>
      <c r="F137" s="19">
        <f t="shared" si="203"/>
        <v>17741483.598999999</v>
      </c>
      <c r="G137" s="19">
        <f t="shared" si="203"/>
        <v>17593139.280949999</v>
      </c>
      <c r="H137" s="19">
        <f t="shared" si="203"/>
        <v>19129965.072039999</v>
      </c>
      <c r="I137" s="19">
        <f t="shared" ref="I137:J137" si="204">+I96+I135+I136</f>
        <v>19476609.752649996</v>
      </c>
      <c r="J137" s="19">
        <f t="shared" si="204"/>
        <v>19075606.032130003</v>
      </c>
      <c r="K137" s="19">
        <f t="shared" ref="K137:L137" si="205">+K96+K135+K136</f>
        <v>20049298.457109999</v>
      </c>
      <c r="L137" s="19">
        <f t="shared" si="205"/>
        <v>18896239.947029997</v>
      </c>
      <c r="M137" s="19">
        <f t="shared" ref="M137" si="206">+M96+M135+M136</f>
        <v>18475289.847460002</v>
      </c>
      <c r="N137" s="19">
        <f t="shared" ref="N137:O137" si="207">+N96+N135+N136</f>
        <v>18334850.839600001</v>
      </c>
      <c r="O137" s="19">
        <f t="shared" si="207"/>
        <v>18850264.46751</v>
      </c>
      <c r="P137" s="19">
        <f t="shared" ref="P137:Q137" si="208">+P96+P135+P136</f>
        <v>18625707.585749999</v>
      </c>
      <c r="Q137" s="19">
        <f t="shared" si="208"/>
        <v>19910055.256680001</v>
      </c>
      <c r="R137" s="19">
        <f t="shared" ref="R137:S137" si="209">+R96+R135+R136</f>
        <v>18992499.935489997</v>
      </c>
      <c r="S137" s="19">
        <f t="shared" si="209"/>
        <v>18767768.937120002</v>
      </c>
      <c r="T137" s="19">
        <f t="shared" ref="T137:U137" si="210">+T96+T135+T136</f>
        <v>18451763.899809998</v>
      </c>
      <c r="U137" s="19">
        <f t="shared" si="210"/>
        <v>19536315.00104</v>
      </c>
      <c r="V137" s="19">
        <f t="shared" ref="V137" si="211">+V96+V135+V136</f>
        <v>18727677.935740001</v>
      </c>
      <c r="W137" s="19">
        <f>'[39]2020 - 2025'!W137+'[40]2020-2025'!W137</f>
        <v>19165940.680020005</v>
      </c>
      <c r="X137" s="19">
        <f>'[41]2020 - 2025'!X137+'[42]2020-2025'!X137</f>
        <v>19773367.440329999</v>
      </c>
      <c r="Y137" s="19">
        <f>'[43]2020 - 2025'!Y137+'[44]2020-2025'!Y137</f>
        <v>19061309.416579999</v>
      </c>
      <c r="Z137" s="19">
        <f>'[45]2020 - 2025'!Z137+'[46]2020-2025'!Z137</f>
        <v>20055901.829519998</v>
      </c>
      <c r="AA137" s="19">
        <f>'[47]2020 - 2026'!AA137+'[48]2020-2026'!AA137</f>
        <v>20143489.419409998</v>
      </c>
    </row>
    <row r="138" spans="1:27" ht="15.95" customHeight="1" x14ac:dyDescent="0.15">
      <c r="A138" s="4">
        <v>15</v>
      </c>
      <c r="B138" s="7" t="s">
        <v>5</v>
      </c>
      <c r="C138" s="19">
        <f>'[1]2015 - 2019'!S138+'[2]2015-2019'!S138</f>
        <v>2537813</v>
      </c>
      <c r="D138" s="19">
        <f>'[3]2015 - 2019'!T138+'[4]2015-2019'!T138</f>
        <v>2442951</v>
      </c>
      <c r="E138" s="19">
        <f>'[5]2015 - 2019'!U138+'[6]2015-2019'!U138</f>
        <v>2409022</v>
      </c>
      <c r="F138" s="19">
        <f>'[7]2015 - 2019'!V138+'[8]2015-2019'!V138</f>
        <v>2450624.3450000002</v>
      </c>
      <c r="G138" s="19">
        <f>'[9]2015 - 2019'!W138+'[10]2016-2021'!W138</f>
        <v>2541259.8124599997</v>
      </c>
      <c r="H138" s="19">
        <f>'[11]2016 - 2021'!X138+'[12]2016-2021'!X138</f>
        <v>2598042.30473</v>
      </c>
      <c r="I138" s="19">
        <f>'[13]2016 - 2021'!Y138+'[14]2016-2021'!Y138</f>
        <v>2631784.78663</v>
      </c>
      <c r="J138" s="19">
        <f>'[15]2016 - 2021'!Z138+'[16]2016-2021'!Z138</f>
        <v>2677810.2872299999</v>
      </c>
      <c r="K138" s="19">
        <f>'[17]2018 - 2022'!S138+'[18]2018-2022'!S138</f>
        <v>2646815.0522799999</v>
      </c>
      <c r="L138" s="19">
        <f>'[19]2018 - 2022'!T138+'[20]2018-2022'!T138</f>
        <v>2694949.2315599998</v>
      </c>
      <c r="M138" s="19">
        <f>'[21]2018 - 2022'!U138+'[22]2018-2022'!U138</f>
        <v>2526067.3582300004</v>
      </c>
      <c r="N138" s="19">
        <f>'[23]2018 - 2023'!V138+'[24]2018-2023'!V138</f>
        <v>2611484.3098999998</v>
      </c>
      <c r="O138" s="19">
        <f>'[23]2018 - 2023'!W138+'[24]2018-2023'!W138</f>
        <v>2752417.0312399999</v>
      </c>
      <c r="P138" s="19">
        <f>'[25]2018 - 2023'!X138+'[26]2018-2023'!X138</f>
        <v>2929323.5795200001</v>
      </c>
      <c r="Q138" s="19">
        <f>'[27]2018 - 2023'!Y138+'[28]2018-2023'!Y138</f>
        <v>3018252.05259</v>
      </c>
      <c r="R138" s="19">
        <f>'[29]2018 - 2023'!Z138+'[30]2018-2023'!Z138</f>
        <v>3102023.63595</v>
      </c>
      <c r="S138" s="19">
        <f>'[31]2020 - 2024'!S138+'[32]2020-2024'!S138</f>
        <v>3191465.0436600004</v>
      </c>
      <c r="T138" s="19">
        <f>'[33]2020 - 2024'!T138+'[34]2020-2024'!T138</f>
        <v>3238083.0329700001</v>
      </c>
      <c r="U138" s="19">
        <f>'[35]2020 - 2024'!U138+'[36]2020-2024'!U138</f>
        <v>3368685.1267800005</v>
      </c>
      <c r="V138" s="19">
        <f>'[37]2020 - 2024'!V138+'[38]2020-2024'!V138</f>
        <v>3374568.8871300002</v>
      </c>
      <c r="W138" s="19">
        <f>'[39]2020 - 2025'!W138+'[40]2020-2025'!W138</f>
        <v>3463246.1525099999</v>
      </c>
      <c r="X138" s="19">
        <f>'[41]2020 - 2025'!X138+'[42]2020-2025'!X138</f>
        <v>3452791.8832700001</v>
      </c>
      <c r="Y138" s="19">
        <f>'[43]2020 - 2025'!Y138+'[44]2020-2025'!Y138</f>
        <v>3140260.4811499999</v>
      </c>
      <c r="Z138" s="19">
        <f>'[45]2020 - 2025'!Z138+'[46]2020-2025'!Z138</f>
        <v>3201241.6841600002</v>
      </c>
      <c r="AA138" s="19">
        <f>'[47]2020 - 2026'!AA138+'[48]2020-2026'!AA138</f>
        <v>3119066.7589100003</v>
      </c>
    </row>
    <row r="139" spans="1:27" ht="15.95" customHeight="1" x14ac:dyDescent="0.15">
      <c r="A139" s="4">
        <v>16</v>
      </c>
      <c r="B139" s="7" t="s">
        <v>15</v>
      </c>
      <c r="C139" s="19">
        <f t="shared" ref="C139:D139" si="212">C138+C137</f>
        <v>20143996</v>
      </c>
      <c r="D139" s="19">
        <f t="shared" si="212"/>
        <v>18622463</v>
      </c>
      <c r="E139" s="19">
        <f t="shared" ref="E139:F139" si="213">E138+E137</f>
        <v>19864254</v>
      </c>
      <c r="F139" s="19">
        <f t="shared" si="213"/>
        <v>20192107.943999998</v>
      </c>
      <c r="G139" s="19">
        <f t="shared" ref="G139:H139" si="214">G138+G137</f>
        <v>20134399.09341</v>
      </c>
      <c r="H139" s="19">
        <f t="shared" si="214"/>
        <v>21728007.376769997</v>
      </c>
      <c r="I139" s="19">
        <f t="shared" ref="I139:J139" si="215">I138+I137</f>
        <v>22108394.539279997</v>
      </c>
      <c r="J139" s="19">
        <f t="shared" si="215"/>
        <v>21753416.319360003</v>
      </c>
      <c r="K139" s="19">
        <f t="shared" ref="K139:L139" si="216">K138+K137</f>
        <v>22696113.50939</v>
      </c>
      <c r="L139" s="19">
        <f t="shared" si="216"/>
        <v>21591189.178589996</v>
      </c>
      <c r="M139" s="19">
        <f t="shared" ref="M139" si="217">M138+M137</f>
        <v>21001357.205690004</v>
      </c>
      <c r="N139" s="19">
        <f t="shared" ref="N139:O139" si="218">N138+N137</f>
        <v>20946335.149500001</v>
      </c>
      <c r="O139" s="19">
        <f t="shared" si="218"/>
        <v>21602681.498750001</v>
      </c>
      <c r="P139" s="19">
        <f t="shared" ref="P139:Q139" si="219">P138+P137</f>
        <v>21555031.165270001</v>
      </c>
      <c r="Q139" s="19">
        <f t="shared" si="219"/>
        <v>22928307.309270002</v>
      </c>
      <c r="R139" s="19">
        <f t="shared" ref="R139:S139" si="220">R138+R137</f>
        <v>22094523.571439996</v>
      </c>
      <c r="S139" s="19">
        <f t="shared" si="220"/>
        <v>21959233.980780002</v>
      </c>
      <c r="T139" s="19">
        <f t="shared" ref="T139:U139" si="221">T138+T137</f>
        <v>21689846.932779998</v>
      </c>
      <c r="U139" s="19">
        <f t="shared" si="221"/>
        <v>22905000.12782</v>
      </c>
      <c r="V139" s="19">
        <f t="shared" ref="V139" si="222">V138+V137</f>
        <v>22102246.822870001</v>
      </c>
      <c r="W139" s="19">
        <f>'[39]2020 - 2025'!W139+'[40]2020-2025'!W139</f>
        <v>22629186.832530003</v>
      </c>
      <c r="X139" s="19">
        <f>'[41]2020 - 2025'!X139+'[42]2020-2025'!X139</f>
        <v>23226159.323599998</v>
      </c>
      <c r="Y139" s="19">
        <f>'[43]2020 - 2025'!Y139+'[44]2020-2025'!Y139</f>
        <v>22201569.89773</v>
      </c>
      <c r="Z139" s="19">
        <f>'[45]2020 - 2025'!Z139+'[46]2020-2025'!Z139</f>
        <v>23257143.51368</v>
      </c>
      <c r="AA139" s="19">
        <f>'[47]2020 - 2026'!AA139+'[48]2020-2026'!AA139</f>
        <v>23262556.178319998</v>
      </c>
    </row>
    <row r="140" spans="1:27" ht="12" customHeight="1" x14ac:dyDescent="0.15"/>
    <row r="141" spans="1:27" ht="12" customHeight="1" x14ac:dyDescent="0.15">
      <c r="B141" s="2" t="s">
        <v>24</v>
      </c>
    </row>
    <row r="142" spans="1:27" ht="12" customHeight="1" x14ac:dyDescent="0.15">
      <c r="B142" s="50" t="s">
        <v>123</v>
      </c>
    </row>
  </sheetData>
  <sheetProtection algorithmName="SHA-512" hashValue="Hxr4hzCjbw11MkY7UFXQdtATcm1ZgCWVi5Z8W9mmNeQ+A18ED1QMlcibt6GRZ7eUzrYnk3utxwmdu3GXOXCgrA==" saltValue="cxowBdch+5rxsePlWHD8PA==" spinCount="100000" sheet="1" objects="1" scenarios="1"/>
  <phoneticPr fontId="2" type="noConversion"/>
  <pageMargins left="0.75" right="0.75" top="0.73802083333333302" bottom="0.49" header="0.5" footer="0.5"/>
  <pageSetup paperSize="5" scale="60" orientation="landscape" r:id="rId1"/>
  <headerFooter alignWithMargins="0"/>
  <rowBreaks count="1" manualBreakCount="1">
    <brk id="9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92"/>
  <sheetViews>
    <sheetView showGridLines="0" workbookViewId="0">
      <selection activeCell="Y1" sqref="Y1"/>
    </sheetView>
  </sheetViews>
  <sheetFormatPr defaultColWidth="13" defaultRowHeight="15.95" customHeight="1" x14ac:dyDescent="0.15"/>
  <cols>
    <col min="1" max="1" width="4.7109375" style="1" customWidth="1"/>
    <col min="2" max="2" width="65.7109375" style="2" customWidth="1"/>
    <col min="3" max="3" width="15.7109375" style="54" customWidth="1"/>
    <col min="4" max="5" width="16.140625" style="54" customWidth="1"/>
    <col min="6" max="6" width="16.140625" style="54" bestFit="1" customWidth="1"/>
    <col min="7" max="7" width="13.5703125" style="54" bestFit="1" customWidth="1"/>
    <col min="8" max="8" width="15.140625" style="54" customWidth="1"/>
    <col min="9" max="18" width="13.7109375" style="54" hidden="1" customWidth="1"/>
    <col min="19" max="19" width="15.42578125" style="3" customWidth="1"/>
    <col min="20" max="20" width="13" style="2"/>
    <col min="21" max="21" width="14.7109375" style="3" customWidth="1"/>
    <col min="22" max="148" width="13" style="50"/>
    <col min="149" max="16384" width="13" style="2"/>
  </cols>
  <sheetData>
    <row r="1" spans="1:25" ht="44.1" customHeight="1" x14ac:dyDescent="0.15">
      <c r="A1" s="48"/>
      <c r="B1" s="162"/>
      <c r="C1" s="162"/>
      <c r="D1" s="162"/>
      <c r="E1" s="162"/>
      <c r="F1" s="162"/>
      <c r="G1" s="162"/>
      <c r="H1" s="162"/>
      <c r="I1" s="49"/>
      <c r="J1" s="49"/>
      <c r="K1" s="49"/>
      <c r="L1" s="49"/>
      <c r="M1" s="49"/>
      <c r="N1" s="49"/>
      <c r="O1" s="49"/>
      <c r="P1" s="49"/>
      <c r="Q1" s="49"/>
      <c r="R1" s="49"/>
      <c r="T1" s="50"/>
    </row>
    <row r="2" spans="1:25" ht="24" customHeight="1" thickBot="1" x14ac:dyDescent="0.2">
      <c r="A2" s="48"/>
      <c r="B2" s="51"/>
      <c r="C2" s="51"/>
      <c r="D2" s="51"/>
      <c r="E2" s="51"/>
      <c r="F2" s="51"/>
      <c r="G2" s="51"/>
      <c r="H2" s="51"/>
      <c r="I2" s="49"/>
      <c r="J2" s="49"/>
      <c r="K2" s="49"/>
      <c r="L2" s="49"/>
      <c r="M2" s="49"/>
      <c r="N2" s="49"/>
      <c r="O2" s="49"/>
      <c r="P2" s="49"/>
      <c r="Q2" s="49"/>
      <c r="R2" s="49"/>
      <c r="T2" s="50"/>
    </row>
    <row r="3" spans="1:25" ht="17.25" customHeight="1" thickBot="1" x14ac:dyDescent="0.2">
      <c r="B3" s="158" t="s">
        <v>41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52"/>
      <c r="N3" s="52"/>
      <c r="O3" s="52"/>
      <c r="P3" s="52"/>
      <c r="Q3" s="52"/>
      <c r="R3" s="52"/>
      <c r="S3" s="147"/>
      <c r="T3" s="147"/>
      <c r="U3" s="147"/>
      <c r="V3" s="147"/>
      <c r="W3" s="147"/>
      <c r="X3" s="147"/>
      <c r="Y3" s="53"/>
    </row>
    <row r="4" spans="1:25" ht="12" customHeight="1" x14ac:dyDescent="0.15">
      <c r="A4" s="48"/>
      <c r="B4" s="50"/>
      <c r="C4" s="49"/>
      <c r="D4" s="49"/>
      <c r="E4" s="49"/>
      <c r="F4" s="49"/>
      <c r="G4" s="49"/>
      <c r="H4" s="49"/>
      <c r="T4" s="50"/>
      <c r="V4" s="3"/>
      <c r="W4" s="3"/>
      <c r="X4" s="3"/>
      <c r="Y4" s="3"/>
    </row>
    <row r="5" spans="1:25" ht="18.95" customHeight="1" x14ac:dyDescent="0.2">
      <c r="A5" s="48"/>
      <c r="B5" s="55" t="s">
        <v>26</v>
      </c>
      <c r="C5" s="155">
        <v>2007</v>
      </c>
      <c r="D5" s="155">
        <v>2008</v>
      </c>
      <c r="E5" s="155">
        <v>2009</v>
      </c>
      <c r="F5" s="155">
        <v>2010</v>
      </c>
      <c r="G5" s="155">
        <v>2011</v>
      </c>
      <c r="H5" s="155">
        <v>2012</v>
      </c>
      <c r="I5" s="156">
        <v>2013</v>
      </c>
      <c r="J5" s="156" t="s">
        <v>63</v>
      </c>
      <c r="K5" s="156" t="s">
        <v>66</v>
      </c>
      <c r="L5" s="156" t="s">
        <v>67</v>
      </c>
      <c r="M5" s="156" t="s">
        <v>68</v>
      </c>
      <c r="N5" s="156" t="s">
        <v>71</v>
      </c>
      <c r="O5" s="156" t="s">
        <v>73</v>
      </c>
      <c r="P5" s="156" t="s">
        <v>74</v>
      </c>
      <c r="Q5" s="156" t="s">
        <v>75</v>
      </c>
      <c r="R5" s="156" t="s">
        <v>78</v>
      </c>
      <c r="S5" s="155">
        <v>2013</v>
      </c>
      <c r="T5" s="155">
        <v>2014</v>
      </c>
      <c r="U5" s="155">
        <v>2015</v>
      </c>
      <c r="V5" s="155">
        <v>2016</v>
      </c>
      <c r="W5" s="155">
        <v>2017</v>
      </c>
      <c r="X5" s="155">
        <v>2018</v>
      </c>
      <c r="Y5" s="157">
        <v>2019</v>
      </c>
    </row>
    <row r="6" spans="1:25" ht="19.5" customHeight="1" x14ac:dyDescent="0.2">
      <c r="A6" s="4">
        <v>1</v>
      </c>
      <c r="B6" s="56" t="s">
        <v>34</v>
      </c>
      <c r="C6" s="57"/>
      <c r="D6" s="58"/>
      <c r="E6" s="59"/>
      <c r="F6" s="59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"/>
      <c r="T6" s="50"/>
      <c r="U6" s="6"/>
      <c r="V6" s="6"/>
      <c r="W6" s="6"/>
      <c r="X6" s="6"/>
      <c r="Y6" s="6"/>
    </row>
    <row r="7" spans="1:25" ht="15.95" customHeight="1" x14ac:dyDescent="0.15">
      <c r="A7" s="48"/>
      <c r="B7" s="62" t="s">
        <v>85</v>
      </c>
      <c r="C7" s="63">
        <f>46562+515</f>
        <v>47077</v>
      </c>
      <c r="D7" s="63">
        <f>38962+1034</f>
        <v>39996</v>
      </c>
      <c r="E7" s="63">
        <f>42859+3526</f>
        <v>46385</v>
      </c>
      <c r="F7" s="63">
        <f>44452+197</f>
        <v>44649</v>
      </c>
      <c r="G7" s="64">
        <f>47090+168</f>
        <v>47258</v>
      </c>
      <c r="H7" s="65">
        <f>62354+167</f>
        <v>62521</v>
      </c>
      <c r="I7" s="66">
        <f>54574+174</f>
        <v>54748</v>
      </c>
      <c r="J7" s="66">
        <f>51387+179</f>
        <v>51566</v>
      </c>
      <c r="K7" s="66">
        <f>43400+181</f>
        <v>43581</v>
      </c>
      <c r="L7" s="66">
        <f>44407+174</f>
        <v>44581</v>
      </c>
      <c r="M7" s="66">
        <f>47706+191</f>
        <v>47897</v>
      </c>
      <c r="N7" s="66">
        <f>45348+169</f>
        <v>45517</v>
      </c>
      <c r="O7" s="66">
        <f>43009+168</f>
        <v>43177</v>
      </c>
      <c r="P7" s="66">
        <v>50428</v>
      </c>
      <c r="Q7" s="66">
        <f>53868+169</f>
        <v>54037</v>
      </c>
      <c r="R7" s="66">
        <f>67771+166</f>
        <v>67937</v>
      </c>
      <c r="S7" s="8">
        <f>54574+174</f>
        <v>54748</v>
      </c>
      <c r="T7" s="19">
        <f>47706+191</f>
        <v>47897</v>
      </c>
      <c r="U7" s="19">
        <f>53868+169</f>
        <v>54037</v>
      </c>
      <c r="V7" s="19">
        <f>167+68025</f>
        <v>68192</v>
      </c>
      <c r="W7" s="19">
        <f>169+63967</f>
        <v>64136</v>
      </c>
      <c r="X7" s="19">
        <v>71311</v>
      </c>
      <c r="Y7" s="19">
        <v>84334</v>
      </c>
    </row>
    <row r="8" spans="1:25" ht="15.95" customHeight="1" x14ac:dyDescent="0.15">
      <c r="A8" s="48"/>
      <c r="B8" s="67" t="s">
        <v>35</v>
      </c>
      <c r="C8" s="65">
        <f>4674976+186678082</f>
        <v>191353058</v>
      </c>
      <c r="D8" s="65">
        <f>5346893+224062976</f>
        <v>229409869</v>
      </c>
      <c r="E8" s="65">
        <f>4721684+231138678</f>
        <v>235860362</v>
      </c>
      <c r="F8" s="65">
        <f>4550157+242746187</f>
        <v>247296344</v>
      </c>
      <c r="G8" s="64">
        <f>4285983+7005378</f>
        <v>11291361</v>
      </c>
      <c r="H8" s="65">
        <f>4901148+6683744</f>
        <v>11584892</v>
      </c>
      <c r="I8" s="66">
        <f>5341875+5117088</f>
        <v>10458963</v>
      </c>
      <c r="J8" s="66">
        <f>4608453+5875014</f>
        <v>10483467</v>
      </c>
      <c r="K8" s="66">
        <f>4250198+5616429</f>
        <v>9866627</v>
      </c>
      <c r="L8" s="66">
        <f>4105525+4846853</f>
        <v>8952378</v>
      </c>
      <c r="M8" s="66">
        <f>3486399+5121880</f>
        <v>8608279</v>
      </c>
      <c r="N8" s="66">
        <f>3603536+5110093</f>
        <v>8713629</v>
      </c>
      <c r="O8" s="66">
        <f>3328071+5853625</f>
        <v>9181696</v>
      </c>
      <c r="P8" s="66">
        <f>P9+P14</f>
        <v>8536716</v>
      </c>
      <c r="Q8" s="66">
        <f>3926768+3596831</f>
        <v>7523599</v>
      </c>
      <c r="R8" s="66">
        <f>3501460+3497541</f>
        <v>6999001</v>
      </c>
      <c r="S8" s="8">
        <f>5341875+5117088</f>
        <v>10458963</v>
      </c>
      <c r="T8" s="19">
        <f>3486399+5121880</f>
        <v>8608279</v>
      </c>
      <c r="U8" s="19">
        <f>3926768+3596831</f>
        <v>7523599</v>
      </c>
      <c r="V8" s="19">
        <f>+V9+V14</f>
        <v>6673740</v>
      </c>
      <c r="W8" s="19">
        <f>4038883+5486735</f>
        <v>9525618</v>
      </c>
      <c r="X8" s="19">
        <v>8624458</v>
      </c>
      <c r="Y8" s="19">
        <v>8865754</v>
      </c>
    </row>
    <row r="9" spans="1:25" ht="15.95" customHeight="1" x14ac:dyDescent="0.15">
      <c r="A9" s="48"/>
      <c r="B9" s="68" t="s">
        <v>36</v>
      </c>
      <c r="C9" s="69">
        <f>9417+19445</f>
        <v>28862</v>
      </c>
      <c r="D9" s="69">
        <f>184669+30703</f>
        <v>215372</v>
      </c>
      <c r="E9" s="69">
        <f>156232+14030</f>
        <v>170262</v>
      </c>
      <c r="F9" s="69">
        <f>327199+17862</f>
        <v>345061</v>
      </c>
      <c r="G9" s="64">
        <f>223537+16602</f>
        <v>240139</v>
      </c>
      <c r="H9" s="64">
        <f>265231+229257-200000</f>
        <v>294488</v>
      </c>
      <c r="I9" s="66">
        <f>186162+220595-200000</f>
        <v>206757</v>
      </c>
      <c r="J9" s="66">
        <f>224127+227010-200000</f>
        <v>251137</v>
      </c>
      <c r="K9" s="66">
        <f>104753+223894-200000</f>
        <v>128647</v>
      </c>
      <c r="L9" s="66">
        <f>83127+20167</f>
        <v>103294</v>
      </c>
      <c r="M9" s="66">
        <f>156898+18345</f>
        <v>175243</v>
      </c>
      <c r="N9" s="66">
        <f>236525+12058</f>
        <v>248583</v>
      </c>
      <c r="O9" s="66">
        <f>240031+11794</f>
        <v>251825</v>
      </c>
      <c r="P9" s="66">
        <f>SUM(P10:P12)</f>
        <v>231327</v>
      </c>
      <c r="Q9" s="66">
        <f>37875+51836</f>
        <v>89711</v>
      </c>
      <c r="R9" s="66">
        <f>27861+47184</f>
        <v>75045</v>
      </c>
      <c r="S9" s="8">
        <f>186162+220595-200000</f>
        <v>206757</v>
      </c>
      <c r="T9" s="19">
        <f>156898+18345</f>
        <v>175243</v>
      </c>
      <c r="U9" s="19">
        <f>37875+51836</f>
        <v>89711</v>
      </c>
      <c r="V9" s="19">
        <f>+V10+V11+V12</f>
        <v>187098</v>
      </c>
      <c r="W9" s="19">
        <f>W10+W11+W12</f>
        <v>369305</v>
      </c>
      <c r="X9" s="19">
        <v>366544</v>
      </c>
      <c r="Y9" s="19">
        <v>310589</v>
      </c>
    </row>
    <row r="10" spans="1:25" ht="15" customHeight="1" x14ac:dyDescent="0.15">
      <c r="A10" s="48"/>
      <c r="B10" s="28" t="s">
        <v>45</v>
      </c>
      <c r="C10" s="71">
        <f>9417+19445</f>
        <v>28862</v>
      </c>
      <c r="D10" s="71">
        <f>9669+30703</f>
        <v>40372</v>
      </c>
      <c r="E10" s="71">
        <f>56232+14030</f>
        <v>70262</v>
      </c>
      <c r="F10" s="71">
        <f>22199+17862</f>
        <v>40061</v>
      </c>
      <c r="G10" s="72">
        <f>23537+16602</f>
        <v>40139</v>
      </c>
      <c r="H10" s="72">
        <f>94720+229257-200000</f>
        <v>123977</v>
      </c>
      <c r="I10" s="73">
        <f>134825+220595-200000</f>
        <v>155420</v>
      </c>
      <c r="J10" s="73">
        <f>116919+227010-200000</f>
        <v>143929</v>
      </c>
      <c r="K10" s="73">
        <f>97453+223894-200000</f>
        <v>121347</v>
      </c>
      <c r="L10" s="73">
        <f>83127+20167</f>
        <v>103294</v>
      </c>
      <c r="M10" s="73">
        <f>81898+18345</f>
        <v>100243</v>
      </c>
      <c r="N10" s="73">
        <f>161525+12058</f>
        <v>173583</v>
      </c>
      <c r="O10" s="73">
        <f>165031+11794</f>
        <v>176825</v>
      </c>
      <c r="P10" s="73">
        <v>156327</v>
      </c>
      <c r="Q10" s="73">
        <f>29653+14592</f>
        <v>44245</v>
      </c>
      <c r="R10" s="73">
        <f>21699+11492</f>
        <v>33191</v>
      </c>
      <c r="S10" s="11">
        <f>134825+220595-200000</f>
        <v>155420</v>
      </c>
      <c r="T10" s="32">
        <f>81898+18345</f>
        <v>100243</v>
      </c>
      <c r="U10" s="32">
        <f>29653+14592</f>
        <v>44245</v>
      </c>
      <c r="V10" s="32">
        <f>18609+415+28732+70741</f>
        <v>118497</v>
      </c>
      <c r="W10" s="32">
        <f>13304+74057+2012</f>
        <v>89373</v>
      </c>
      <c r="X10" s="32">
        <v>97102</v>
      </c>
      <c r="Y10" s="32">
        <v>59654</v>
      </c>
    </row>
    <row r="11" spans="1:25" ht="15" customHeight="1" x14ac:dyDescent="0.15">
      <c r="A11" s="48"/>
      <c r="B11" s="28" t="s">
        <v>44</v>
      </c>
      <c r="C11" s="74">
        <v>0</v>
      </c>
      <c r="D11" s="71">
        <v>175000</v>
      </c>
      <c r="E11" s="71">
        <v>100000</v>
      </c>
      <c r="F11" s="71">
        <v>305000</v>
      </c>
      <c r="G11" s="72">
        <f>200000+0</f>
        <v>200000</v>
      </c>
      <c r="H11" s="72">
        <f>170511+0</f>
        <v>170511</v>
      </c>
      <c r="I11" s="73">
        <v>51337</v>
      </c>
      <c r="J11" s="73">
        <v>107208</v>
      </c>
      <c r="K11" s="73">
        <v>7300</v>
      </c>
      <c r="L11" s="75">
        <v>0</v>
      </c>
      <c r="M11" s="75">
        <v>75000</v>
      </c>
      <c r="N11" s="75">
        <v>75000</v>
      </c>
      <c r="O11" s="75">
        <v>75000</v>
      </c>
      <c r="P11" s="73">
        <v>75000</v>
      </c>
      <c r="Q11" s="73">
        <f>8222+37244</f>
        <v>45466</v>
      </c>
      <c r="R11" s="73">
        <f>6162+35692</f>
        <v>41854</v>
      </c>
      <c r="S11" s="11">
        <v>51337</v>
      </c>
      <c r="T11" s="32">
        <v>75000</v>
      </c>
      <c r="U11" s="32">
        <f>8222+37244</f>
        <v>45466</v>
      </c>
      <c r="V11" s="32">
        <f>8600+60001</f>
        <v>68601</v>
      </c>
      <c r="W11" s="32">
        <f>41953+237979</f>
        <v>279932</v>
      </c>
      <c r="X11" s="32">
        <v>269442</v>
      </c>
      <c r="Y11" s="32">
        <v>250935</v>
      </c>
    </row>
    <row r="12" spans="1:25" ht="15" customHeight="1" x14ac:dyDescent="0.15">
      <c r="A12" s="48"/>
      <c r="B12" s="28" t="s">
        <v>64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6">
        <v>0</v>
      </c>
      <c r="S12" s="13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</row>
    <row r="13" spans="1:25" ht="13.5" customHeight="1" x14ac:dyDescent="0.15">
      <c r="A13" s="48"/>
      <c r="B13" s="77"/>
      <c r="C13" s="78"/>
      <c r="D13" s="78"/>
      <c r="E13" s="78"/>
      <c r="F13" s="78"/>
      <c r="G13" s="73"/>
      <c r="H13" s="73"/>
      <c r="I13" s="75"/>
      <c r="J13" s="75"/>
      <c r="K13" s="75"/>
      <c r="L13" s="75"/>
      <c r="M13" s="75"/>
      <c r="N13" s="75"/>
      <c r="O13" s="75"/>
      <c r="P13" s="79"/>
      <c r="Q13" s="79"/>
      <c r="R13" s="79"/>
      <c r="S13" s="13"/>
      <c r="T13" s="13"/>
      <c r="U13" s="15"/>
      <c r="V13" s="32"/>
      <c r="W13" s="32"/>
      <c r="X13" s="32"/>
      <c r="Y13" s="32"/>
    </row>
    <row r="14" spans="1:25" ht="15.95" customHeight="1" x14ac:dyDescent="0.15">
      <c r="A14" s="48"/>
      <c r="B14" s="68" t="s">
        <v>38</v>
      </c>
      <c r="C14" s="65">
        <f>4665559+186658637</f>
        <v>191324196</v>
      </c>
      <c r="D14" s="65">
        <f>5162224+224032273</f>
        <v>229194497</v>
      </c>
      <c r="E14" s="65">
        <f>4565452+231124648</f>
        <v>235690100</v>
      </c>
      <c r="F14" s="65">
        <f>4222958+242728325</f>
        <v>246951283</v>
      </c>
      <c r="G14" s="64">
        <f>4062446+6988776</f>
        <v>11051222</v>
      </c>
      <c r="H14" s="64">
        <f>4635917+6654487</f>
        <v>11290404</v>
      </c>
      <c r="I14" s="66">
        <f>5155713+5096493</f>
        <v>10252206</v>
      </c>
      <c r="J14" s="66">
        <f>4384326+5848004</f>
        <v>10232330</v>
      </c>
      <c r="K14" s="66">
        <f>4145445+5592535</f>
        <v>9737980</v>
      </c>
      <c r="L14" s="66">
        <f>4022398+4826686</f>
        <v>8849084</v>
      </c>
      <c r="M14" s="66">
        <f>3329501+5103535</f>
        <v>8433036</v>
      </c>
      <c r="N14" s="66">
        <f>3367011+5098035</f>
        <v>8465046</v>
      </c>
      <c r="O14" s="66">
        <f>3088040+5841831</f>
        <v>8929871</v>
      </c>
      <c r="P14" s="66">
        <f>SUM(P15:P17)</f>
        <v>8305389</v>
      </c>
      <c r="Q14" s="66">
        <f>3888893+3544995</f>
        <v>7433888</v>
      </c>
      <c r="R14" s="66">
        <f>3473599+3450357</f>
        <v>6923956</v>
      </c>
      <c r="S14" s="8">
        <f>5155713+5096493</f>
        <v>10252206</v>
      </c>
      <c r="T14" s="19">
        <f>3329501+5103535</f>
        <v>8433036</v>
      </c>
      <c r="U14" s="19">
        <f>3888893+3544995</f>
        <v>7433888</v>
      </c>
      <c r="V14" s="19">
        <f t="shared" ref="V14:W14" si="0">+V15+V16+V17+V18+V19</f>
        <v>6486642</v>
      </c>
      <c r="W14" s="19">
        <f t="shared" si="0"/>
        <v>9156313</v>
      </c>
      <c r="X14" s="19">
        <v>8257914</v>
      </c>
      <c r="Y14" s="19">
        <v>8555165</v>
      </c>
    </row>
    <row r="15" spans="1:25" ht="15" customHeight="1" x14ac:dyDescent="0.15">
      <c r="A15" s="48"/>
      <c r="B15" s="80" t="s">
        <v>20</v>
      </c>
      <c r="C15" s="71">
        <f>4665559+186658637</f>
        <v>191324196</v>
      </c>
      <c r="D15" s="71">
        <f>5162224+224032273</f>
        <v>229194497</v>
      </c>
      <c r="E15" s="71">
        <f>3343419+230645690</f>
        <v>233989109</v>
      </c>
      <c r="F15" s="71">
        <f>3455730+242364680</f>
        <v>245820410</v>
      </c>
      <c r="G15" s="72">
        <f>3524670+6520967</f>
        <v>10045637</v>
      </c>
      <c r="H15" s="72">
        <f>3694352+6143096+200000</f>
        <v>10037448</v>
      </c>
      <c r="I15" s="73">
        <f>3942004+4556332+200000</f>
        <v>8698336</v>
      </c>
      <c r="J15" s="73">
        <f>3154911+5359573+200000</f>
        <v>8714484</v>
      </c>
      <c r="K15" s="73">
        <f>2929911+5156133+200000</f>
        <v>8286044</v>
      </c>
      <c r="L15" s="73">
        <f>2868971+4381308</f>
        <v>7250279</v>
      </c>
      <c r="M15" s="73">
        <f>2083006+4758967</f>
        <v>6841973</v>
      </c>
      <c r="N15" s="73">
        <f>2176549+4969120</f>
        <v>7145669</v>
      </c>
      <c r="O15" s="73">
        <f>1955664+5734385</f>
        <v>7690049</v>
      </c>
      <c r="P15" s="73">
        <f>6030865+1000005</f>
        <v>7030870</v>
      </c>
      <c r="Q15" s="73">
        <f>2417249+3449561</f>
        <v>5866810</v>
      </c>
      <c r="R15" s="73">
        <f>2431322+3162391</f>
        <v>5593713</v>
      </c>
      <c r="S15" s="11">
        <f>3942004+4556332+200000</f>
        <v>8698336</v>
      </c>
      <c r="T15" s="32">
        <f>2083006+4758967</f>
        <v>6841973</v>
      </c>
      <c r="U15" s="32">
        <f>2417249+3449561</f>
        <v>5866810</v>
      </c>
      <c r="V15" s="32">
        <f>2738920+2716001</f>
        <v>5454921</v>
      </c>
      <c r="W15" s="32">
        <f>3925461+3592552</f>
        <v>7518013</v>
      </c>
      <c r="X15" s="32">
        <v>6422752</v>
      </c>
      <c r="Y15" s="32">
        <v>7301271</v>
      </c>
    </row>
    <row r="16" spans="1:25" ht="15" customHeight="1" x14ac:dyDescent="0.15">
      <c r="A16" s="48"/>
      <c r="B16" s="28" t="s">
        <v>47</v>
      </c>
      <c r="C16" s="81" t="s">
        <v>22</v>
      </c>
      <c r="D16" s="74">
        <v>0</v>
      </c>
      <c r="E16" s="71">
        <f>1222033+478958</f>
        <v>1700991</v>
      </c>
      <c r="F16" s="71">
        <f>767228+363645</f>
        <v>1130873</v>
      </c>
      <c r="G16" s="71">
        <v>1005585</v>
      </c>
      <c r="H16" s="72">
        <v>1231227</v>
      </c>
      <c r="I16" s="73">
        <f>1213709+340161</f>
        <v>1553870</v>
      </c>
      <c r="J16" s="73">
        <f>1229159+287752</f>
        <v>1516911</v>
      </c>
      <c r="K16" s="73">
        <f>1215534+236402</f>
        <v>1451936</v>
      </c>
      <c r="L16" s="73">
        <f>1153427+445378</f>
        <v>1598805</v>
      </c>
      <c r="M16" s="73">
        <f>1246495+344568</f>
        <v>1591063</v>
      </c>
      <c r="N16" s="73">
        <f>1190462+128915</f>
        <v>1319377</v>
      </c>
      <c r="O16" s="73">
        <f>1132376+107446</f>
        <v>1239822</v>
      </c>
      <c r="P16" s="73">
        <v>1274519</v>
      </c>
      <c r="Q16" s="73">
        <f>1471644+95423</f>
        <v>1567067</v>
      </c>
      <c r="R16" s="73">
        <f>1042277+287966</f>
        <v>1330243</v>
      </c>
      <c r="S16" s="11">
        <f>1213709+340161</f>
        <v>1553870</v>
      </c>
      <c r="T16" s="32">
        <f>1246495+344568</f>
        <v>1591063</v>
      </c>
      <c r="U16" s="32">
        <f>1471644+95423</f>
        <v>1567067</v>
      </c>
      <c r="V16" s="32">
        <f>22164+1009557</f>
        <v>1031721</v>
      </c>
      <c r="W16" s="32">
        <f>58165+1580135</f>
        <v>1638300</v>
      </c>
      <c r="X16" s="32">
        <v>1835126</v>
      </c>
      <c r="Y16" s="32">
        <v>1253888</v>
      </c>
    </row>
    <row r="17" spans="1:148" ht="15" customHeight="1" x14ac:dyDescent="0.15">
      <c r="A17" s="48"/>
      <c r="B17" s="28" t="s">
        <v>64</v>
      </c>
      <c r="C17" s="81" t="s">
        <v>22</v>
      </c>
      <c r="D17" s="74">
        <v>0</v>
      </c>
      <c r="E17" s="74">
        <v>0</v>
      </c>
      <c r="F17" s="74">
        <v>0</v>
      </c>
      <c r="G17" s="74">
        <v>0</v>
      </c>
      <c r="H17" s="72">
        <v>21729</v>
      </c>
      <c r="I17" s="75">
        <v>0</v>
      </c>
      <c r="J17" s="75">
        <f>679+256</f>
        <v>935</v>
      </c>
      <c r="K17" s="75">
        <f>0</f>
        <v>0</v>
      </c>
      <c r="L17" s="75">
        <f>0</f>
        <v>0</v>
      </c>
      <c r="M17" s="75">
        <f>0</f>
        <v>0</v>
      </c>
      <c r="N17" s="75">
        <f>0</f>
        <v>0</v>
      </c>
      <c r="O17" s="75">
        <v>0</v>
      </c>
      <c r="P17" s="75">
        <v>0</v>
      </c>
      <c r="Q17" s="75">
        <v>0</v>
      </c>
      <c r="R17" s="75">
        <v>0</v>
      </c>
      <c r="S17" s="13">
        <v>0</v>
      </c>
      <c r="T17" s="32">
        <v>0</v>
      </c>
      <c r="U17" s="32">
        <v>0</v>
      </c>
      <c r="V17" s="32">
        <v>0</v>
      </c>
      <c r="W17" s="32">
        <v>0</v>
      </c>
      <c r="X17" s="32">
        <v>36</v>
      </c>
      <c r="Y17" s="32">
        <v>6</v>
      </c>
    </row>
    <row r="18" spans="1:148" s="50" customFormat="1" ht="15" customHeight="1" x14ac:dyDescent="0.15">
      <c r="A18" s="48"/>
      <c r="B18" s="70" t="s">
        <v>81</v>
      </c>
      <c r="C18" s="81" t="s">
        <v>22</v>
      </c>
      <c r="D18" s="81" t="s">
        <v>22</v>
      </c>
      <c r="E18" s="81" t="s">
        <v>22</v>
      </c>
      <c r="F18" s="81" t="s">
        <v>22</v>
      </c>
      <c r="G18" s="81">
        <v>0</v>
      </c>
      <c r="H18" s="81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17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</row>
    <row r="19" spans="1:148" s="50" customFormat="1" ht="15" customHeight="1" x14ac:dyDescent="0.15">
      <c r="A19" s="48"/>
      <c r="B19" s="16" t="s">
        <v>89</v>
      </c>
      <c r="C19" s="81" t="s">
        <v>22</v>
      </c>
      <c r="D19" s="81" t="s">
        <v>22</v>
      </c>
      <c r="E19" s="81" t="s">
        <v>22</v>
      </c>
      <c r="F19" s="81" t="s">
        <v>22</v>
      </c>
      <c r="G19" s="81">
        <v>0</v>
      </c>
      <c r="H19" s="81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17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</row>
    <row r="20" spans="1:148" ht="12" customHeight="1" x14ac:dyDescent="0.15">
      <c r="A20" s="48"/>
      <c r="B20" s="82"/>
      <c r="C20" s="78"/>
      <c r="D20" s="78"/>
      <c r="E20" s="78"/>
      <c r="F20" s="78"/>
      <c r="G20" s="83"/>
      <c r="H20" s="49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13"/>
      <c r="T20" s="13"/>
      <c r="U20" s="13"/>
      <c r="V20" s="13"/>
      <c r="W20" s="13"/>
      <c r="X20" s="13"/>
      <c r="Y20" s="13"/>
    </row>
    <row r="21" spans="1:148" ht="15.95" customHeight="1" x14ac:dyDescent="0.15">
      <c r="A21" s="84">
        <v>2</v>
      </c>
      <c r="B21" s="62" t="s">
        <v>48</v>
      </c>
      <c r="C21" s="65">
        <f>1743054+1398743</f>
        <v>3141797</v>
      </c>
      <c r="D21" s="65">
        <f>1715110+255728</f>
        <v>1970838</v>
      </c>
      <c r="E21" s="65">
        <f>1406247+203907</f>
        <v>1610154</v>
      </c>
      <c r="F21" s="65">
        <f>1088621+160307</f>
        <v>1248928</v>
      </c>
      <c r="G21" s="64">
        <f>1055536+112540</f>
        <v>1168076</v>
      </c>
      <c r="H21" s="64">
        <f>1237054+68110</f>
        <v>1305164</v>
      </c>
      <c r="I21" s="66">
        <f>1082749+199733</f>
        <v>1282482</v>
      </c>
      <c r="J21" s="66">
        <f>1207048+300599</f>
        <v>1507647</v>
      </c>
      <c r="K21" s="66">
        <f>1247816+263474</f>
        <v>1511290</v>
      </c>
      <c r="L21" s="66">
        <f>1328386+254967</f>
        <v>1583353</v>
      </c>
      <c r="M21" s="66">
        <f>1560400+222253</f>
        <v>1782653</v>
      </c>
      <c r="N21" s="66">
        <f>1758700+6014</f>
        <v>1764714</v>
      </c>
      <c r="O21" s="66">
        <f>2037810+5814</f>
        <v>2043624</v>
      </c>
      <c r="P21" s="66">
        <f>P22+P33</f>
        <v>795038</v>
      </c>
      <c r="Q21" s="66">
        <f>2571599+505738</f>
        <v>3077337</v>
      </c>
      <c r="R21" s="66">
        <f>3045215+505717</f>
        <v>3550932</v>
      </c>
      <c r="S21" s="8">
        <f>1082749+199733</f>
        <v>1282482</v>
      </c>
      <c r="T21" s="19">
        <f>1560400+222253</f>
        <v>1782653</v>
      </c>
      <c r="U21" s="19">
        <f>2571599+505738</f>
        <v>3077337</v>
      </c>
      <c r="V21" s="19">
        <f>+V22+V33</f>
        <v>4002351</v>
      </c>
      <c r="W21" s="19">
        <f>+W22+W33</f>
        <v>2908508</v>
      </c>
      <c r="X21" s="19">
        <v>3566450</v>
      </c>
      <c r="Y21" s="19">
        <v>4224691</v>
      </c>
    </row>
    <row r="22" spans="1:148" s="20" customFormat="1" ht="15.95" customHeight="1" x14ac:dyDescent="0.15">
      <c r="A22" s="84"/>
      <c r="B22" s="68" t="s">
        <v>36</v>
      </c>
      <c r="C22" s="65">
        <v>39446</v>
      </c>
      <c r="D22" s="65">
        <v>39246</v>
      </c>
      <c r="E22" s="65">
        <v>47303</v>
      </c>
      <c r="F22" s="65">
        <v>35316</v>
      </c>
      <c r="G22" s="64">
        <f>34045+0</f>
        <v>34045</v>
      </c>
      <c r="H22" s="64">
        <f>27873+1266</f>
        <v>29139</v>
      </c>
      <c r="I22" s="66">
        <f>25961+13092</f>
        <v>39053</v>
      </c>
      <c r="J22" s="66">
        <f>25837+13128</f>
        <v>38965</v>
      </c>
      <c r="K22" s="66">
        <f>26546+12682</f>
        <v>39228</v>
      </c>
      <c r="L22" s="66">
        <f>25360+13079</f>
        <v>38439</v>
      </c>
      <c r="M22" s="66">
        <f>24492+12882</f>
        <v>37374</v>
      </c>
      <c r="N22" s="66">
        <f>25617</f>
        <v>25617</v>
      </c>
      <c r="O22" s="66">
        <v>9647</v>
      </c>
      <c r="P22" s="85">
        <v>9715</v>
      </c>
      <c r="Q22" s="85">
        <v>13253</v>
      </c>
      <c r="R22" s="85">
        <v>13218</v>
      </c>
      <c r="S22" s="8">
        <f>25961+13092</f>
        <v>39053</v>
      </c>
      <c r="T22" s="19">
        <f>24492+12882</f>
        <v>37374</v>
      </c>
      <c r="U22" s="19">
        <v>13253</v>
      </c>
      <c r="V22" s="19">
        <f t="shared" ref="V22" si="1">SUM(V23:V29)</f>
        <v>11593</v>
      </c>
      <c r="W22" s="19">
        <f t="shared" ref="W22" si="2">SUM(W23:W29)</f>
        <v>10019</v>
      </c>
      <c r="X22" s="19">
        <v>83532</v>
      </c>
      <c r="Y22" s="19">
        <v>49929</v>
      </c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</row>
    <row r="23" spans="1:148" ht="15" customHeight="1" x14ac:dyDescent="0.15">
      <c r="A23" s="48"/>
      <c r="B23" s="50" t="s">
        <v>3</v>
      </c>
      <c r="C23" s="72">
        <v>14300</v>
      </c>
      <c r="D23" s="72">
        <v>12667</v>
      </c>
      <c r="E23" s="72">
        <v>11333</v>
      </c>
      <c r="F23" s="72">
        <v>10000</v>
      </c>
      <c r="G23" s="71">
        <v>9640</v>
      </c>
      <c r="H23" s="72">
        <f>9961+593</f>
        <v>10554</v>
      </c>
      <c r="I23" s="73">
        <f>10630+12883</f>
        <v>23513</v>
      </c>
      <c r="J23" s="73">
        <f>10739+12498</f>
        <v>23237</v>
      </c>
      <c r="K23" s="73">
        <f>10045+12432</f>
        <v>22477</v>
      </c>
      <c r="L23" s="73">
        <f>10060+12504</f>
        <v>22564</v>
      </c>
      <c r="M23" s="73">
        <f>9192+12436</f>
        <v>21628</v>
      </c>
      <c r="N23" s="73">
        <v>10317</v>
      </c>
      <c r="O23" s="73">
        <v>9647</v>
      </c>
      <c r="P23" s="73">
        <v>9615</v>
      </c>
      <c r="Q23" s="73">
        <v>13153</v>
      </c>
      <c r="R23" s="73">
        <v>13118</v>
      </c>
      <c r="S23" s="11">
        <f>10630+12883</f>
        <v>23513</v>
      </c>
      <c r="T23" s="32">
        <f>9192+12436</f>
        <v>21628</v>
      </c>
      <c r="U23" s="32">
        <v>13153</v>
      </c>
      <c r="V23" s="32">
        <v>11593</v>
      </c>
      <c r="W23" s="32">
        <v>10019</v>
      </c>
      <c r="X23" s="32">
        <v>15728</v>
      </c>
      <c r="Y23" s="32">
        <v>0</v>
      </c>
    </row>
    <row r="24" spans="1:148" ht="15" customHeight="1" x14ac:dyDescent="0.15">
      <c r="A24" s="48"/>
      <c r="B24" s="50" t="s">
        <v>13</v>
      </c>
      <c r="C24" s="72">
        <v>10300</v>
      </c>
      <c r="D24" s="72">
        <v>10300</v>
      </c>
      <c r="E24" s="72">
        <v>10063</v>
      </c>
      <c r="F24" s="72">
        <v>15300</v>
      </c>
      <c r="G24" s="71">
        <v>14639</v>
      </c>
      <c r="H24" s="72">
        <f>15000+0</f>
        <v>15000</v>
      </c>
      <c r="I24" s="73">
        <f>15331</f>
        <v>15331</v>
      </c>
      <c r="J24" s="73">
        <v>15098</v>
      </c>
      <c r="K24" s="73">
        <f>15467+0</f>
        <v>15467</v>
      </c>
      <c r="L24" s="73">
        <v>15300</v>
      </c>
      <c r="M24" s="73">
        <v>15300</v>
      </c>
      <c r="N24" s="73">
        <v>15300</v>
      </c>
      <c r="O24" s="75">
        <v>0</v>
      </c>
      <c r="P24" s="75">
        <v>0</v>
      </c>
      <c r="Q24" s="75">
        <v>0</v>
      </c>
      <c r="R24" s="75">
        <v>0</v>
      </c>
      <c r="S24" s="11">
        <f>15331</f>
        <v>15331</v>
      </c>
      <c r="T24" s="32">
        <v>15300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</row>
    <row r="25" spans="1:148" ht="15" customHeight="1" x14ac:dyDescent="0.15">
      <c r="A25" s="48"/>
      <c r="B25" s="50" t="s">
        <v>18</v>
      </c>
      <c r="C25" s="87">
        <v>0</v>
      </c>
      <c r="D25" s="88">
        <v>0</v>
      </c>
      <c r="E25" s="72">
        <v>1634</v>
      </c>
      <c r="F25" s="72">
        <v>1343</v>
      </c>
      <c r="G25" s="71">
        <v>1141</v>
      </c>
      <c r="H25" s="72">
        <f>1001+0</f>
        <v>1001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100</v>
      </c>
      <c r="Q25" s="75">
        <v>100</v>
      </c>
      <c r="R25" s="75">
        <v>100</v>
      </c>
      <c r="S25" s="13">
        <v>0</v>
      </c>
      <c r="T25" s="32">
        <v>0</v>
      </c>
      <c r="U25" s="32">
        <v>0</v>
      </c>
      <c r="V25" s="32">
        <v>0</v>
      </c>
      <c r="W25" s="32">
        <v>0</v>
      </c>
      <c r="X25" s="32">
        <v>72</v>
      </c>
      <c r="Y25" s="32">
        <v>0</v>
      </c>
    </row>
    <row r="26" spans="1:148" ht="15" customHeight="1" x14ac:dyDescent="0.15">
      <c r="A26" s="48"/>
      <c r="B26" s="50" t="s">
        <v>37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75">
        <v>0</v>
      </c>
      <c r="J26" s="75">
        <v>0</v>
      </c>
      <c r="K26" s="75">
        <v>250</v>
      </c>
      <c r="L26" s="75">
        <v>448</v>
      </c>
      <c r="M26" s="75">
        <v>446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13">
        <v>0</v>
      </c>
      <c r="T26" s="32">
        <v>446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</row>
    <row r="27" spans="1:148" ht="15" customHeight="1" x14ac:dyDescent="0.15">
      <c r="A27" s="48"/>
      <c r="B27" s="50" t="s">
        <v>49</v>
      </c>
      <c r="C27" s="87">
        <v>0</v>
      </c>
      <c r="D27" s="88">
        <v>0</v>
      </c>
      <c r="E27" s="88">
        <v>0</v>
      </c>
      <c r="F27" s="88">
        <v>0</v>
      </c>
      <c r="G27" s="88">
        <v>0</v>
      </c>
      <c r="H27" s="88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13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</row>
    <row r="28" spans="1:148" ht="15" customHeight="1" x14ac:dyDescent="0.15">
      <c r="A28" s="48"/>
      <c r="B28" s="28" t="s">
        <v>64</v>
      </c>
      <c r="C28" s="72">
        <v>15146</v>
      </c>
      <c r="D28" s="72">
        <v>16279</v>
      </c>
      <c r="E28" s="72">
        <v>24273</v>
      </c>
      <c r="F28" s="72">
        <v>8673</v>
      </c>
      <c r="G28" s="71">
        <v>8625</v>
      </c>
      <c r="H28" s="72">
        <f>1911+673</f>
        <v>2584</v>
      </c>
      <c r="I28" s="73">
        <f>209+0</f>
        <v>209</v>
      </c>
      <c r="J28" s="75">
        <v>630</v>
      </c>
      <c r="K28" s="75">
        <v>1034</v>
      </c>
      <c r="L28" s="75">
        <v>127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11">
        <f>209+0</f>
        <v>209</v>
      </c>
      <c r="T28" s="32">
        <v>0</v>
      </c>
      <c r="U28" s="32">
        <v>0</v>
      </c>
      <c r="V28" s="32">
        <v>0</v>
      </c>
      <c r="W28" s="32">
        <v>0</v>
      </c>
      <c r="X28" s="32">
        <v>67732</v>
      </c>
      <c r="Y28" s="32">
        <v>49929</v>
      </c>
    </row>
    <row r="29" spans="1:148" ht="15" customHeight="1" x14ac:dyDescent="0.15">
      <c r="A29" s="48"/>
      <c r="B29" s="12" t="s">
        <v>90</v>
      </c>
      <c r="C29" s="87">
        <v>0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13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</row>
    <row r="30" spans="1:148" ht="6" customHeight="1" x14ac:dyDescent="0.15">
      <c r="A30" s="48"/>
      <c r="B30" s="89"/>
      <c r="C30" s="83"/>
      <c r="D30" s="83"/>
      <c r="E30" s="83"/>
      <c r="F30" s="83"/>
      <c r="G30" s="90"/>
      <c r="H30" s="49"/>
      <c r="I30" s="66"/>
      <c r="J30" s="66"/>
      <c r="K30" s="66"/>
      <c r="L30" s="66"/>
      <c r="M30" s="66"/>
      <c r="N30" s="66"/>
      <c r="O30" s="66"/>
      <c r="P30" s="91"/>
      <c r="Q30" s="91"/>
      <c r="R30" s="91"/>
      <c r="S30" s="8"/>
      <c r="T30" s="8"/>
      <c r="U30" s="22"/>
      <c r="V30" s="22"/>
      <c r="W30" s="22"/>
      <c r="X30" s="22"/>
      <c r="Y30" s="22"/>
    </row>
    <row r="31" spans="1:148" ht="6" customHeight="1" x14ac:dyDescent="0.15">
      <c r="A31" s="48"/>
      <c r="B31" s="89"/>
      <c r="C31" s="83"/>
      <c r="D31" s="83"/>
      <c r="E31" s="83"/>
      <c r="F31" s="83"/>
      <c r="G31" s="90"/>
      <c r="H31" s="49"/>
      <c r="I31" s="66"/>
      <c r="J31" s="66"/>
      <c r="K31" s="66"/>
      <c r="L31" s="66"/>
      <c r="M31" s="66"/>
      <c r="N31" s="66"/>
      <c r="O31" s="66"/>
      <c r="P31" s="91"/>
      <c r="Q31" s="91"/>
      <c r="R31" s="91"/>
    </row>
    <row r="32" spans="1:148" ht="15" customHeight="1" x14ac:dyDescent="0.15">
      <c r="A32" s="48"/>
      <c r="B32" s="89"/>
      <c r="C32" s="83"/>
      <c r="D32" s="83"/>
      <c r="E32" s="83"/>
      <c r="F32" s="83"/>
      <c r="G32" s="90"/>
      <c r="H32" s="49"/>
      <c r="I32" s="66"/>
      <c r="J32" s="66"/>
      <c r="K32" s="66"/>
      <c r="L32" s="66"/>
      <c r="M32" s="66"/>
      <c r="N32" s="66"/>
      <c r="O32" s="66"/>
      <c r="P32" s="91"/>
      <c r="Q32" s="91"/>
      <c r="R32" s="91"/>
    </row>
    <row r="33" spans="1:25" ht="15.95" customHeight="1" x14ac:dyDescent="0.15">
      <c r="A33" s="48"/>
      <c r="B33" s="68" t="s">
        <v>38</v>
      </c>
      <c r="C33" s="65">
        <f>1703608+1398743</f>
        <v>3102351</v>
      </c>
      <c r="D33" s="65">
        <f>1675864+255728</f>
        <v>1931592</v>
      </c>
      <c r="E33" s="65">
        <f>1358944+203907</f>
        <v>1562851</v>
      </c>
      <c r="F33" s="65">
        <f>1053305+160307</f>
        <v>1213612</v>
      </c>
      <c r="G33" s="64">
        <f>1021491+112540</f>
        <v>1134031</v>
      </c>
      <c r="H33" s="64">
        <f>1209181+66844</f>
        <v>1276025</v>
      </c>
      <c r="I33" s="66">
        <f>1056788+186641</f>
        <v>1243429</v>
      </c>
      <c r="J33" s="66">
        <f>1181211+287471</f>
        <v>1468682</v>
      </c>
      <c r="K33" s="66">
        <f>1221270+250792</f>
        <v>1472062</v>
      </c>
      <c r="L33" s="66">
        <f>1303026+241888</f>
        <v>1544914</v>
      </c>
      <c r="M33" s="66">
        <f>1535908+209371</f>
        <v>1745279</v>
      </c>
      <c r="N33" s="66">
        <f>1733083+6014</f>
        <v>1739097</v>
      </c>
      <c r="O33" s="66">
        <f>2028163+5814</f>
        <v>2033977</v>
      </c>
      <c r="P33" s="66">
        <f>SUM(P34:P36)</f>
        <v>785323</v>
      </c>
      <c r="Q33" s="66">
        <f>2558346+505738</f>
        <v>3064084</v>
      </c>
      <c r="R33" s="66">
        <f>3031997+505717</f>
        <v>3537714</v>
      </c>
      <c r="S33" s="8">
        <f>1056788+186641</f>
        <v>1243429</v>
      </c>
      <c r="T33" s="19">
        <f>1535908+209371</f>
        <v>1745279</v>
      </c>
      <c r="U33" s="19">
        <f>2558346+505738</f>
        <v>3064084</v>
      </c>
      <c r="V33" s="19">
        <f t="shared" ref="V33" si="3">SUM(V34:V38)</f>
        <v>3990758</v>
      </c>
      <c r="W33" s="19">
        <f t="shared" ref="W33" si="4">SUM(W34:W38)</f>
        <v>2898489</v>
      </c>
      <c r="X33" s="19">
        <v>3482918</v>
      </c>
      <c r="Y33" s="19">
        <v>4174762</v>
      </c>
    </row>
    <row r="34" spans="1:25" ht="15" customHeight="1" x14ac:dyDescent="0.15">
      <c r="A34" s="48"/>
      <c r="B34" s="80" t="s">
        <v>20</v>
      </c>
      <c r="C34" s="92" t="s">
        <v>22</v>
      </c>
      <c r="D34" s="92" t="s">
        <v>22</v>
      </c>
      <c r="E34" s="92" t="s">
        <v>22</v>
      </c>
      <c r="F34" s="92" t="s">
        <v>22</v>
      </c>
      <c r="G34" s="74">
        <v>0</v>
      </c>
      <c r="H34" s="71">
        <f>90000+0</f>
        <v>90000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3">
        <v>305638</v>
      </c>
      <c r="Q34" s="73">
        <f>288329</f>
        <v>288329</v>
      </c>
      <c r="R34" s="73">
        <f>303781+0</f>
        <v>303781</v>
      </c>
      <c r="S34" s="13">
        <v>0</v>
      </c>
      <c r="T34" s="32">
        <v>0</v>
      </c>
      <c r="U34" s="32">
        <f>288329</f>
        <v>288329</v>
      </c>
      <c r="V34" s="32">
        <v>290947</v>
      </c>
      <c r="W34" s="32">
        <v>315974</v>
      </c>
      <c r="X34" s="32">
        <v>837729</v>
      </c>
      <c r="Y34" s="32">
        <v>706670</v>
      </c>
    </row>
    <row r="35" spans="1:25" ht="15" customHeight="1" x14ac:dyDescent="0.15">
      <c r="A35" s="48"/>
      <c r="B35" s="28" t="s">
        <v>47</v>
      </c>
      <c r="C35" s="92" t="s">
        <v>22</v>
      </c>
      <c r="D35" s="92" t="s">
        <v>22</v>
      </c>
      <c r="E35" s="92" t="s">
        <v>22</v>
      </c>
      <c r="F35" s="92" t="s">
        <v>22</v>
      </c>
      <c r="G35" s="74">
        <v>309018</v>
      </c>
      <c r="H35" s="72">
        <f>351965+4662</f>
        <v>356627</v>
      </c>
      <c r="I35" s="73">
        <f>315027+9340</f>
        <v>324367</v>
      </c>
      <c r="J35" s="73">
        <f>331865+73242</f>
        <v>405107</v>
      </c>
      <c r="K35" s="73">
        <f>355148+204590</f>
        <v>559738</v>
      </c>
      <c r="L35" s="73">
        <f>351372+102888</f>
        <v>454260</v>
      </c>
      <c r="M35" s="73">
        <f>392332+168939</f>
        <v>561271</v>
      </c>
      <c r="N35" s="73">
        <f>393276+0</f>
        <v>393276</v>
      </c>
      <c r="O35" s="73">
        <v>400707</v>
      </c>
      <c r="P35" s="73">
        <v>368213</v>
      </c>
      <c r="Q35" s="73">
        <v>586604</v>
      </c>
      <c r="R35" s="73">
        <f>612133+0</f>
        <v>612133</v>
      </c>
      <c r="S35" s="11">
        <f>315027+9340</f>
        <v>324367</v>
      </c>
      <c r="T35" s="32">
        <f>392332+168939</f>
        <v>561271</v>
      </c>
      <c r="U35" s="32">
        <v>586604</v>
      </c>
      <c r="V35" s="32">
        <v>714906</v>
      </c>
      <c r="W35" s="32">
        <v>556527</v>
      </c>
      <c r="X35" s="32">
        <v>461799</v>
      </c>
      <c r="Y35" s="32">
        <v>246598</v>
      </c>
    </row>
    <row r="36" spans="1:25" ht="15" customHeight="1" x14ac:dyDescent="0.15">
      <c r="A36" s="48"/>
      <c r="B36" s="28" t="s">
        <v>64</v>
      </c>
      <c r="C36" s="92" t="s">
        <v>22</v>
      </c>
      <c r="D36" s="92" t="s">
        <v>22</v>
      </c>
      <c r="E36" s="92" t="s">
        <v>22</v>
      </c>
      <c r="F36" s="92" t="s">
        <v>22</v>
      </c>
      <c r="G36" s="72">
        <f>112540+334136</f>
        <v>446676</v>
      </c>
      <c r="H36" s="72">
        <f>100536+7714</f>
        <v>108250</v>
      </c>
      <c r="I36" s="73">
        <f>145668+36396</f>
        <v>182064</v>
      </c>
      <c r="J36" s="73">
        <f>40815+5684</f>
        <v>46499</v>
      </c>
      <c r="K36" s="73">
        <f>42685</f>
        <v>42685</v>
      </c>
      <c r="L36" s="73">
        <f>89955+131</f>
        <v>90086</v>
      </c>
      <c r="M36" s="73">
        <v>99251</v>
      </c>
      <c r="N36" s="73">
        <v>110132</v>
      </c>
      <c r="O36" s="73">
        <v>97895</v>
      </c>
      <c r="P36" s="73">
        <v>111472</v>
      </c>
      <c r="Q36" s="73">
        <v>64666</v>
      </c>
      <c r="R36" s="73">
        <f>150954+0</f>
        <v>150954</v>
      </c>
      <c r="S36" s="11">
        <f>145668+36396</f>
        <v>182064</v>
      </c>
      <c r="T36" s="32">
        <v>99251</v>
      </c>
      <c r="U36" s="32">
        <v>64666</v>
      </c>
      <c r="V36" s="32">
        <v>34195</v>
      </c>
      <c r="W36" s="32">
        <v>57020</v>
      </c>
      <c r="X36" s="32">
        <v>146943</v>
      </c>
      <c r="Y36" s="32">
        <v>287890</v>
      </c>
    </row>
    <row r="37" spans="1:25" s="50" customFormat="1" ht="15" customHeight="1" x14ac:dyDescent="0.15">
      <c r="A37" s="48"/>
      <c r="B37" s="70" t="s">
        <v>81</v>
      </c>
      <c r="C37" s="81" t="s">
        <v>22</v>
      </c>
      <c r="D37" s="81" t="s">
        <v>22</v>
      </c>
      <c r="E37" s="81" t="s">
        <v>22</v>
      </c>
      <c r="F37" s="81" t="s">
        <v>22</v>
      </c>
      <c r="G37" s="81">
        <v>0</v>
      </c>
      <c r="H37" s="81">
        <v>0</v>
      </c>
      <c r="I37" s="50">
        <v>0</v>
      </c>
      <c r="J37" s="93">
        <f>81344+10700</f>
        <v>92044</v>
      </c>
      <c r="K37" s="93">
        <f>90364+21530</f>
        <v>111894</v>
      </c>
      <c r="L37" s="93">
        <f>90831+22508</f>
        <v>113339</v>
      </c>
      <c r="M37" s="93">
        <f>96163+18618</f>
        <v>114781</v>
      </c>
      <c r="N37" s="93">
        <v>96144</v>
      </c>
      <c r="O37" s="93">
        <v>94810</v>
      </c>
      <c r="P37" s="93">
        <v>95660</v>
      </c>
      <c r="Q37" s="93">
        <v>126636</v>
      </c>
      <c r="R37" s="93">
        <f>211179+0</f>
        <v>211179</v>
      </c>
      <c r="S37" s="24">
        <f>75003+275</f>
        <v>75278</v>
      </c>
      <c r="T37" s="32">
        <f>96163+18618</f>
        <v>114781</v>
      </c>
      <c r="U37" s="32">
        <v>126636</v>
      </c>
      <c r="V37" s="32">
        <v>164362</v>
      </c>
      <c r="W37" s="32">
        <v>157842</v>
      </c>
      <c r="X37" s="32">
        <v>181360</v>
      </c>
      <c r="Y37" s="32">
        <v>60321</v>
      </c>
    </row>
    <row r="38" spans="1:25" s="50" customFormat="1" ht="15" customHeight="1" x14ac:dyDescent="0.15">
      <c r="A38" s="48"/>
      <c r="B38" s="12" t="s">
        <v>91</v>
      </c>
      <c r="C38" s="81" t="s">
        <v>22</v>
      </c>
      <c r="D38" s="81" t="s">
        <v>22</v>
      </c>
      <c r="E38" s="81" t="s">
        <v>22</v>
      </c>
      <c r="F38" s="81" t="s">
        <v>22</v>
      </c>
      <c r="G38" s="81">
        <v>378337</v>
      </c>
      <c r="H38" s="81">
        <v>721148</v>
      </c>
      <c r="I38" s="50">
        <v>0</v>
      </c>
      <c r="J38" s="93">
        <f>727187+197845</f>
        <v>925032</v>
      </c>
      <c r="K38" s="93">
        <f>733073+24672</f>
        <v>757745</v>
      </c>
      <c r="L38" s="93">
        <f>770868+116361</f>
        <v>887229</v>
      </c>
      <c r="M38" s="93">
        <f>948162+21814</f>
        <v>969976</v>
      </c>
      <c r="N38" s="93">
        <f>1133531+6014</f>
        <v>1139545</v>
      </c>
      <c r="O38" s="93">
        <f>1434751+5814</f>
        <v>1440565</v>
      </c>
      <c r="P38" s="93">
        <f>1515130</f>
        <v>1515130</v>
      </c>
      <c r="Q38" s="93">
        <f>1492111+505738</f>
        <v>1997849</v>
      </c>
      <c r="R38" s="93">
        <f>1753950+505717</f>
        <v>2259667</v>
      </c>
      <c r="S38" s="24">
        <f>521090+140630</f>
        <v>661720</v>
      </c>
      <c r="T38" s="32">
        <f>948162+21814</f>
        <v>969976</v>
      </c>
      <c r="U38" s="32">
        <f>1492111+505738</f>
        <v>1997849</v>
      </c>
      <c r="V38" s="32">
        <f>1005337+1781011</f>
        <v>2786348</v>
      </c>
      <c r="W38" s="32">
        <f>5050+1806076</f>
        <v>1811126</v>
      </c>
      <c r="X38" s="32">
        <v>1855087</v>
      </c>
      <c r="Y38" s="32">
        <v>2873283</v>
      </c>
    </row>
    <row r="39" spans="1:25" ht="12" customHeight="1" x14ac:dyDescent="0.15">
      <c r="A39" s="48"/>
      <c r="B39" s="94"/>
      <c r="C39" s="95"/>
      <c r="D39" s="95"/>
      <c r="E39" s="95"/>
      <c r="F39" s="95"/>
      <c r="G39" s="49"/>
      <c r="H39" s="49"/>
      <c r="I39" s="75"/>
      <c r="J39" s="75"/>
      <c r="K39" s="75"/>
      <c r="L39" s="75"/>
      <c r="M39" s="75"/>
      <c r="N39" s="75"/>
      <c r="O39" s="75"/>
      <c r="P39" s="85"/>
      <c r="Q39" s="85"/>
      <c r="R39" s="85"/>
      <c r="S39" s="13"/>
      <c r="T39" s="13"/>
      <c r="U39" s="19"/>
      <c r="V39" s="19"/>
      <c r="W39" s="19"/>
      <c r="X39" s="19"/>
      <c r="Y39" s="19"/>
    </row>
    <row r="40" spans="1:25" ht="15.95" customHeight="1" x14ac:dyDescent="0.15">
      <c r="A40" s="84">
        <v>3</v>
      </c>
      <c r="B40" s="62" t="s">
        <v>43</v>
      </c>
      <c r="C40" s="96">
        <v>0</v>
      </c>
      <c r="D40" s="96">
        <v>0</v>
      </c>
      <c r="E40" s="96">
        <v>0</v>
      </c>
      <c r="F40" s="64">
        <f>82143+100288</f>
        <v>182431</v>
      </c>
      <c r="G40" s="64">
        <f>106389+5224</f>
        <v>111613</v>
      </c>
      <c r="H40" s="64">
        <f>101597+9833</f>
        <v>111430</v>
      </c>
      <c r="I40" s="66">
        <f>104821+16163</f>
        <v>120984</v>
      </c>
      <c r="J40" s="66">
        <f>104996+16043</f>
        <v>121039</v>
      </c>
      <c r="K40" s="66">
        <f>106999+15863</f>
        <v>122862</v>
      </c>
      <c r="L40" s="66">
        <f>106692+4912</f>
        <v>111604</v>
      </c>
      <c r="M40" s="66">
        <f>88782+4664</f>
        <v>93446</v>
      </c>
      <c r="N40" s="66">
        <f>88673+4232</f>
        <v>92905</v>
      </c>
      <c r="O40" s="66">
        <f>88623+4232</f>
        <v>92855</v>
      </c>
      <c r="P40" s="66">
        <v>397533</v>
      </c>
      <c r="Q40" s="66">
        <f>83621+4232</f>
        <v>87853</v>
      </c>
      <c r="R40" s="66">
        <f>83620+4232</f>
        <v>87852</v>
      </c>
      <c r="S40" s="8">
        <f>104821+16163</f>
        <v>120984</v>
      </c>
      <c r="T40" s="19">
        <f>88782+4664</f>
        <v>93446</v>
      </c>
      <c r="U40" s="19">
        <f>83621+4232</f>
        <v>87853</v>
      </c>
      <c r="V40" s="19">
        <f>+V41+V48</f>
        <v>288010</v>
      </c>
      <c r="W40" s="19">
        <f>117464+88264</f>
        <v>205728</v>
      </c>
      <c r="X40" s="19">
        <v>88524</v>
      </c>
      <c r="Y40" s="19">
        <v>87473</v>
      </c>
    </row>
    <row r="41" spans="1:25" ht="15.95" customHeight="1" x14ac:dyDescent="0.15">
      <c r="A41" s="48"/>
      <c r="B41" s="62" t="s">
        <v>36</v>
      </c>
      <c r="C41" s="97" t="s">
        <v>22</v>
      </c>
      <c r="D41" s="97" t="s">
        <v>22</v>
      </c>
      <c r="E41" s="97" t="s">
        <v>22</v>
      </c>
      <c r="F41" s="64">
        <f>597+4533</f>
        <v>5130</v>
      </c>
      <c r="G41" s="64">
        <f>23113+4533</f>
        <v>27646</v>
      </c>
      <c r="H41" s="64">
        <f>23974+4533</f>
        <v>28507</v>
      </c>
      <c r="I41" s="66">
        <f>27198+4872</f>
        <v>32070</v>
      </c>
      <c r="J41" s="66">
        <f>27316+4744</f>
        <v>32060</v>
      </c>
      <c r="K41" s="66">
        <f>29376+4871</f>
        <v>34247</v>
      </c>
      <c r="L41" s="66">
        <f>29010+4912</f>
        <v>33922</v>
      </c>
      <c r="M41" s="66">
        <f>11099+4543</f>
        <v>15642</v>
      </c>
      <c r="N41" s="66">
        <f>11050+4232</f>
        <v>15282</v>
      </c>
      <c r="O41" s="66">
        <f>11000+4232</f>
        <v>15232</v>
      </c>
      <c r="P41" s="66">
        <v>14281</v>
      </c>
      <c r="Q41" s="66">
        <f>5998+4232</f>
        <v>10230</v>
      </c>
      <c r="R41" s="66">
        <f>5941+4232</f>
        <v>10173</v>
      </c>
      <c r="S41" s="8">
        <f>27198+4872</f>
        <v>32070</v>
      </c>
      <c r="T41" s="19">
        <f>11099+4543</f>
        <v>15642</v>
      </c>
      <c r="U41" s="19">
        <f>5998+4232</f>
        <v>10230</v>
      </c>
      <c r="V41" s="19">
        <f t="shared" ref="V41" si="5">SUM(V42:V46)</f>
        <v>180979</v>
      </c>
      <c r="W41" s="19">
        <f t="shared" ref="W41" si="6">SUM(W42:W46)</f>
        <v>20650</v>
      </c>
      <c r="X41" s="19">
        <v>10590</v>
      </c>
      <c r="Y41" s="19">
        <v>9540</v>
      </c>
    </row>
    <row r="42" spans="1:25" ht="15" customHeight="1" x14ac:dyDescent="0.15">
      <c r="A42" s="48"/>
      <c r="B42" s="50" t="s">
        <v>18</v>
      </c>
      <c r="C42" s="74" t="s">
        <v>22</v>
      </c>
      <c r="D42" s="74" t="s">
        <v>22</v>
      </c>
      <c r="E42" s="74" t="s">
        <v>22</v>
      </c>
      <c r="F42" s="74">
        <v>73</v>
      </c>
      <c r="G42" s="88">
        <v>0</v>
      </c>
      <c r="H42" s="88">
        <v>0</v>
      </c>
      <c r="I42" s="75">
        <v>0</v>
      </c>
      <c r="J42" s="75">
        <v>0</v>
      </c>
      <c r="K42" s="75">
        <v>0</v>
      </c>
      <c r="L42" s="75">
        <v>0</v>
      </c>
      <c r="M42" s="75">
        <v>168</v>
      </c>
      <c r="N42" s="75">
        <v>0</v>
      </c>
      <c r="O42" s="75">
        <v>0</v>
      </c>
      <c r="P42" s="75">
        <v>0</v>
      </c>
      <c r="Q42" s="75">
        <v>0</v>
      </c>
      <c r="R42" s="75">
        <f>0+0</f>
        <v>0</v>
      </c>
      <c r="S42" s="13">
        <v>0</v>
      </c>
      <c r="T42" s="32">
        <v>168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</row>
    <row r="43" spans="1:25" ht="15" customHeight="1" x14ac:dyDescent="0.15">
      <c r="A43" s="48"/>
      <c r="B43" s="50" t="s">
        <v>37</v>
      </c>
      <c r="C43" s="74" t="s">
        <v>22</v>
      </c>
      <c r="D43" s="74" t="s">
        <v>22</v>
      </c>
      <c r="E43" s="74" t="s">
        <v>22</v>
      </c>
      <c r="F43" s="74">
        <v>0</v>
      </c>
      <c r="G43" s="88">
        <v>0</v>
      </c>
      <c r="H43" s="88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f>0+0</f>
        <v>0</v>
      </c>
      <c r="S43" s="13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</row>
    <row r="44" spans="1:25" ht="15" customHeight="1" x14ac:dyDescent="0.15">
      <c r="A44" s="48"/>
      <c r="B44" s="50" t="s">
        <v>49</v>
      </c>
      <c r="C44" s="74" t="s">
        <v>22</v>
      </c>
      <c r="D44" s="74" t="s">
        <v>22</v>
      </c>
      <c r="E44" s="74" t="s">
        <v>22</v>
      </c>
      <c r="F44" s="74">
        <v>524</v>
      </c>
      <c r="G44" s="88">
        <v>0</v>
      </c>
      <c r="H44" s="88">
        <v>0</v>
      </c>
      <c r="I44" s="73">
        <v>13832</v>
      </c>
      <c r="J44" s="73">
        <v>18753</v>
      </c>
      <c r="K44" s="73">
        <f>12832</f>
        <v>12832</v>
      </c>
      <c r="L44" s="73">
        <f>13832+4912</f>
        <v>18744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f>0+0</f>
        <v>0</v>
      </c>
      <c r="S44" s="11">
        <v>13832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</row>
    <row r="45" spans="1:25" ht="15" customHeight="1" x14ac:dyDescent="0.15">
      <c r="A45" s="48"/>
      <c r="B45" s="28" t="s">
        <v>64</v>
      </c>
      <c r="C45" s="74" t="s">
        <v>22</v>
      </c>
      <c r="D45" s="74" t="s">
        <v>22</v>
      </c>
      <c r="E45" s="74" t="s">
        <v>22</v>
      </c>
      <c r="F45" s="74">
        <v>4533</v>
      </c>
      <c r="G45" s="98">
        <f>23113+4533</f>
        <v>27646</v>
      </c>
      <c r="H45" s="72">
        <f>23974+4533</f>
        <v>28507</v>
      </c>
      <c r="I45" s="73">
        <f>13366+4872</f>
        <v>18238</v>
      </c>
      <c r="J45" s="73">
        <f>8563+4744</f>
        <v>13307</v>
      </c>
      <c r="K45" s="73">
        <f>15544+4871</f>
        <v>20415</v>
      </c>
      <c r="L45" s="73">
        <v>15178</v>
      </c>
      <c r="M45" s="73">
        <f>11099+4375</f>
        <v>15474</v>
      </c>
      <c r="N45" s="73">
        <f>11050+4232</f>
        <v>15282</v>
      </c>
      <c r="O45" s="73">
        <f>11000+4232</f>
        <v>15232</v>
      </c>
      <c r="P45" s="75">
        <v>14281</v>
      </c>
      <c r="Q45" s="75">
        <f>5998+4232</f>
        <v>10230</v>
      </c>
      <c r="R45" s="75">
        <f>5941+4232</f>
        <v>10173</v>
      </c>
      <c r="S45" s="11">
        <f>13366+4872</f>
        <v>18238</v>
      </c>
      <c r="T45" s="32">
        <f>11099+4375</f>
        <v>15474</v>
      </c>
      <c r="U45" s="32">
        <f>5998+4232</f>
        <v>10230</v>
      </c>
      <c r="V45" s="32">
        <f>170587+10292</f>
        <v>180879</v>
      </c>
      <c r="W45" s="32">
        <f>10060+10490</f>
        <v>20550</v>
      </c>
      <c r="X45" s="32">
        <v>10490</v>
      </c>
      <c r="Y45" s="32">
        <v>9540</v>
      </c>
    </row>
    <row r="46" spans="1:25" ht="15" customHeight="1" x14ac:dyDescent="0.15">
      <c r="A46" s="48"/>
      <c r="B46" s="12" t="s">
        <v>86</v>
      </c>
      <c r="C46" s="87" t="s">
        <v>22</v>
      </c>
      <c r="D46" s="88" t="s">
        <v>22</v>
      </c>
      <c r="E46" s="88" t="s">
        <v>22</v>
      </c>
      <c r="F46" s="88">
        <v>0</v>
      </c>
      <c r="G46" s="88">
        <v>0</v>
      </c>
      <c r="H46" s="88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13">
        <v>0</v>
      </c>
      <c r="T46" s="32">
        <v>0</v>
      </c>
      <c r="U46" s="32">
        <v>100</v>
      </c>
      <c r="V46" s="32">
        <v>100</v>
      </c>
      <c r="W46" s="32">
        <v>100</v>
      </c>
      <c r="X46" s="32">
        <v>100</v>
      </c>
      <c r="Y46" s="32">
        <v>0</v>
      </c>
    </row>
    <row r="47" spans="1:25" ht="6" customHeight="1" x14ac:dyDescent="0.15">
      <c r="A47" s="48"/>
      <c r="B47" s="77"/>
      <c r="C47" s="78"/>
      <c r="D47" s="83"/>
      <c r="E47" s="83"/>
      <c r="F47" s="83"/>
      <c r="G47" s="83"/>
      <c r="H47" s="83"/>
      <c r="I47" s="89"/>
      <c r="J47" s="89"/>
      <c r="K47" s="89"/>
      <c r="L47" s="89"/>
      <c r="M47" s="89"/>
      <c r="N47" s="89"/>
      <c r="O47" s="89"/>
      <c r="P47" s="85"/>
      <c r="Q47" s="85"/>
      <c r="R47" s="85"/>
      <c r="S47" s="27"/>
      <c r="T47" s="27"/>
      <c r="U47" s="19"/>
      <c r="V47" s="19"/>
      <c r="W47" s="19"/>
      <c r="X47" s="19"/>
      <c r="Y47" s="19"/>
    </row>
    <row r="48" spans="1:25" ht="18" customHeight="1" x14ac:dyDescent="0.15">
      <c r="A48" s="48"/>
      <c r="B48" s="62" t="s">
        <v>38</v>
      </c>
      <c r="C48" s="97" t="s">
        <v>22</v>
      </c>
      <c r="D48" s="97" t="s">
        <v>22</v>
      </c>
      <c r="E48" s="97" t="s">
        <v>22</v>
      </c>
      <c r="F48" s="64">
        <f>81546+95755</f>
        <v>177301</v>
      </c>
      <c r="G48" s="64">
        <f>83278+691</f>
        <v>83969</v>
      </c>
      <c r="H48" s="64">
        <f>77623+5300</f>
        <v>82923</v>
      </c>
      <c r="I48" s="66">
        <f>77623+11291</f>
        <v>88914</v>
      </c>
      <c r="J48" s="66">
        <f>77680+11299</f>
        <v>88979</v>
      </c>
      <c r="K48" s="66">
        <f>77623+10992</f>
        <v>88615</v>
      </c>
      <c r="L48" s="66">
        <v>77682</v>
      </c>
      <c r="M48" s="66">
        <f>77683+121</f>
        <v>77804</v>
      </c>
      <c r="N48" s="66">
        <f>77623</f>
        <v>77623</v>
      </c>
      <c r="O48" s="66">
        <v>77623</v>
      </c>
      <c r="P48" s="66">
        <v>77623</v>
      </c>
      <c r="Q48" s="66">
        <f>77623</f>
        <v>77623</v>
      </c>
      <c r="R48" s="66">
        <v>77679</v>
      </c>
      <c r="S48" s="8">
        <f>77623+11291</f>
        <v>88914</v>
      </c>
      <c r="T48" s="19">
        <f>77683+121</f>
        <v>77804</v>
      </c>
      <c r="U48" s="19">
        <f>77623</f>
        <v>77623</v>
      </c>
      <c r="V48" s="19">
        <f t="shared" ref="V48" si="7">+V49+V50+V51+V52+V53</f>
        <v>107031</v>
      </c>
      <c r="W48" s="19">
        <f t="shared" ref="W48" si="8">+W49+W50+W51+W52+W53</f>
        <v>185078</v>
      </c>
      <c r="X48" s="19">
        <v>77934</v>
      </c>
      <c r="Y48" s="19">
        <v>77933</v>
      </c>
    </row>
    <row r="49" spans="1:148" ht="15" customHeight="1" x14ac:dyDescent="0.15">
      <c r="A49" s="48"/>
      <c r="B49" s="80" t="s">
        <v>20</v>
      </c>
      <c r="C49" s="92" t="s">
        <v>22</v>
      </c>
      <c r="D49" s="92" t="s">
        <v>22</v>
      </c>
      <c r="E49" s="92" t="s">
        <v>22</v>
      </c>
      <c r="F49" s="71">
        <f>78204+95000</f>
        <v>173204</v>
      </c>
      <c r="G49" s="98">
        <v>77654</v>
      </c>
      <c r="H49" s="72">
        <v>77623</v>
      </c>
      <c r="I49" s="73">
        <f>77623+0</f>
        <v>77623</v>
      </c>
      <c r="J49" s="73">
        <f>77623+0</f>
        <v>77623</v>
      </c>
      <c r="K49" s="73">
        <f>77623</f>
        <v>77623</v>
      </c>
      <c r="L49" s="73">
        <v>77623</v>
      </c>
      <c r="M49" s="73">
        <v>77623</v>
      </c>
      <c r="N49" s="73">
        <v>77623</v>
      </c>
      <c r="O49" s="73">
        <v>77623</v>
      </c>
      <c r="P49" s="75">
        <v>77623</v>
      </c>
      <c r="Q49" s="75">
        <v>77623</v>
      </c>
      <c r="R49" s="75">
        <v>77623</v>
      </c>
      <c r="S49" s="11">
        <f>77623+0</f>
        <v>77623</v>
      </c>
      <c r="T49" s="32">
        <v>77623</v>
      </c>
      <c r="U49" s="32">
        <v>77623</v>
      </c>
      <c r="V49" s="32">
        <f>77623+28872</f>
        <v>106495</v>
      </c>
      <c r="W49" s="32">
        <f>49623+77623</f>
        <v>127246</v>
      </c>
      <c r="X49" s="32">
        <v>77888</v>
      </c>
      <c r="Y49" s="32">
        <v>77888</v>
      </c>
    </row>
    <row r="50" spans="1:148" ht="15" customHeight="1" x14ac:dyDescent="0.15">
      <c r="A50" s="48"/>
      <c r="B50" s="28" t="s">
        <v>47</v>
      </c>
      <c r="C50" s="92" t="s">
        <v>22</v>
      </c>
      <c r="D50" s="92" t="s">
        <v>22</v>
      </c>
      <c r="E50" s="92" t="s">
        <v>22</v>
      </c>
      <c r="F50" s="74">
        <v>0</v>
      </c>
      <c r="G50" s="74">
        <v>0</v>
      </c>
      <c r="H50" s="99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13">
        <v>0</v>
      </c>
      <c r="T50" s="32">
        <v>0</v>
      </c>
      <c r="U50" s="32">
        <v>0</v>
      </c>
      <c r="V50" s="32">
        <v>0</v>
      </c>
      <c r="W50" s="32">
        <v>57781</v>
      </c>
      <c r="X50" s="32">
        <v>0</v>
      </c>
      <c r="Y50" s="32">
        <v>0</v>
      </c>
    </row>
    <row r="51" spans="1:148" ht="15" customHeight="1" x14ac:dyDescent="0.15">
      <c r="A51" s="48"/>
      <c r="B51" s="28" t="s">
        <v>64</v>
      </c>
      <c r="C51" s="92" t="s">
        <v>22</v>
      </c>
      <c r="D51" s="92" t="s">
        <v>22</v>
      </c>
      <c r="E51" s="92" t="s">
        <v>22</v>
      </c>
      <c r="F51" s="71">
        <f>3342+755</f>
        <v>4097</v>
      </c>
      <c r="G51" s="98">
        <v>6315</v>
      </c>
      <c r="H51" s="72">
        <v>5086</v>
      </c>
      <c r="I51" s="75">
        <v>0</v>
      </c>
      <c r="J51" s="75">
        <v>57</v>
      </c>
      <c r="K51" s="75">
        <v>137</v>
      </c>
      <c r="L51" s="75">
        <v>59</v>
      </c>
      <c r="M51" s="75">
        <f>60+121</f>
        <v>181</v>
      </c>
      <c r="N51" s="75">
        <v>0</v>
      </c>
      <c r="O51" s="75">
        <v>0</v>
      </c>
      <c r="P51" s="75">
        <v>0</v>
      </c>
      <c r="Q51" s="75">
        <v>0</v>
      </c>
      <c r="R51" s="75">
        <v>56</v>
      </c>
      <c r="S51" s="13">
        <v>0</v>
      </c>
      <c r="T51" s="32">
        <f>60+121</f>
        <v>181</v>
      </c>
      <c r="U51" s="32">
        <v>0</v>
      </c>
      <c r="V51" s="32">
        <v>54</v>
      </c>
      <c r="W51" s="32">
        <v>51</v>
      </c>
      <c r="X51" s="32">
        <v>46</v>
      </c>
      <c r="Y51" s="32">
        <v>45</v>
      </c>
    </row>
    <row r="52" spans="1:148" ht="15" customHeight="1" x14ac:dyDescent="0.15">
      <c r="A52" s="48"/>
      <c r="B52" s="28" t="s">
        <v>81</v>
      </c>
      <c r="C52" s="92" t="s">
        <v>22</v>
      </c>
      <c r="D52" s="92" t="s">
        <v>22</v>
      </c>
      <c r="E52" s="92" t="s">
        <v>22</v>
      </c>
      <c r="F52" s="92" t="s">
        <v>22</v>
      </c>
      <c r="G52" s="88">
        <v>0</v>
      </c>
      <c r="H52" s="88">
        <v>214</v>
      </c>
      <c r="I52" s="93">
        <v>11291</v>
      </c>
      <c r="J52" s="93">
        <v>11299</v>
      </c>
      <c r="K52" s="93">
        <v>10855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24">
        <v>11291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</row>
    <row r="53" spans="1:148" ht="15" customHeight="1" x14ac:dyDescent="0.15">
      <c r="A53" s="48"/>
      <c r="B53" s="28" t="s">
        <v>87</v>
      </c>
      <c r="C53" s="92" t="s">
        <v>22</v>
      </c>
      <c r="D53" s="92" t="s">
        <v>22</v>
      </c>
      <c r="E53" s="92" t="s">
        <v>22</v>
      </c>
      <c r="F53" s="92" t="s">
        <v>22</v>
      </c>
      <c r="G53" s="88">
        <v>0</v>
      </c>
      <c r="H53" s="88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17">
        <v>0</v>
      </c>
      <c r="T53" s="32">
        <v>0</v>
      </c>
      <c r="U53" s="32">
        <v>0</v>
      </c>
      <c r="V53" s="32">
        <v>482</v>
      </c>
      <c r="W53" s="32">
        <v>0</v>
      </c>
      <c r="X53" s="32">
        <v>0</v>
      </c>
      <c r="Y53" s="32">
        <v>0</v>
      </c>
    </row>
    <row r="54" spans="1:148" ht="12" customHeight="1" x14ac:dyDescent="0.15">
      <c r="A54" s="48"/>
      <c r="B54" s="28"/>
      <c r="C54" s="100"/>
      <c r="D54" s="100"/>
      <c r="E54" s="100"/>
      <c r="F54" s="101"/>
      <c r="G54" s="101"/>
      <c r="H54" s="102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8"/>
      <c r="T54" s="8"/>
      <c r="U54" s="8"/>
      <c r="V54" s="8"/>
      <c r="W54" s="8"/>
      <c r="X54" s="8"/>
      <c r="Y54" s="8"/>
    </row>
    <row r="55" spans="1:148" ht="15" customHeight="1" x14ac:dyDescent="0.15">
      <c r="A55" s="84">
        <v>4</v>
      </c>
      <c r="B55" s="62" t="s">
        <v>16</v>
      </c>
      <c r="C55" s="65">
        <f>4409283+6639401</f>
        <v>11048684</v>
      </c>
      <c r="D55" s="65">
        <f>5178313+5864475</f>
        <v>11042788</v>
      </c>
      <c r="E55" s="65">
        <f>5248352+3779601</f>
        <v>9027953</v>
      </c>
      <c r="F55" s="65">
        <f>5346919+4295398</f>
        <v>9642317</v>
      </c>
      <c r="G55" s="64">
        <f>5548393+1884052</f>
        <v>7432445</v>
      </c>
      <c r="H55" s="64">
        <f>5189320+1900941</f>
        <v>7090261</v>
      </c>
      <c r="I55" s="66">
        <f>4807174+2085848-160193-40511</f>
        <v>6692318</v>
      </c>
      <c r="J55" s="66">
        <f>4798812+1838615-178014</f>
        <v>6459413</v>
      </c>
      <c r="K55" s="66">
        <f>4831726+1966200-167590-758</f>
        <v>6629578</v>
      </c>
      <c r="L55" s="66">
        <f>4779348+2021341-173400</f>
        <v>6627289</v>
      </c>
      <c r="M55" s="66">
        <f>4825999+2672645-183876</f>
        <v>7314768</v>
      </c>
      <c r="N55" s="66">
        <f>4478211+2938944</f>
        <v>7417155</v>
      </c>
      <c r="O55" s="66">
        <f>4520327+3349012</f>
        <v>7869339</v>
      </c>
      <c r="P55" s="66">
        <v>10256085</v>
      </c>
      <c r="Q55" s="66">
        <f>7113816+4748973</f>
        <v>11862789</v>
      </c>
      <c r="R55" s="66">
        <f>7156408+4835997</f>
        <v>11992405</v>
      </c>
      <c r="S55" s="8">
        <f>4807174+2085848-160193-40511</f>
        <v>6692318</v>
      </c>
      <c r="T55" s="19">
        <f>4825999+2672645-183876</f>
        <v>7314768</v>
      </c>
      <c r="U55" s="19">
        <f>7113816+4748973</f>
        <v>11862789</v>
      </c>
      <c r="V55" s="19">
        <f>4312008+6883426</f>
        <v>11195434</v>
      </c>
      <c r="W55" s="19">
        <f t="shared" ref="W55" si="9">+W56+W80</f>
        <v>10524686</v>
      </c>
      <c r="X55" s="19">
        <v>8734943</v>
      </c>
      <c r="Y55" s="19">
        <v>6342335</v>
      </c>
    </row>
    <row r="56" spans="1:148" ht="15" customHeight="1" x14ac:dyDescent="0.15">
      <c r="A56" s="48"/>
      <c r="B56" s="62" t="s">
        <v>36</v>
      </c>
      <c r="C56" s="69">
        <f>2708426+286784</f>
        <v>2995210</v>
      </c>
      <c r="D56" s="69">
        <f>3315759+467605</f>
        <v>3783364</v>
      </c>
      <c r="E56" s="69">
        <f>3404185+57711</f>
        <v>3461896</v>
      </c>
      <c r="F56" s="69">
        <f>3609766+170820</f>
        <v>3780586</v>
      </c>
      <c r="G56" s="64">
        <f>3727787+143890</f>
        <v>3871677</v>
      </c>
      <c r="H56" s="64">
        <f>3660693+125774</f>
        <v>3786467</v>
      </c>
      <c r="I56" s="66">
        <f>3770331+347738-160193-40511</f>
        <v>3917365</v>
      </c>
      <c r="J56" s="66">
        <f>3726571+197167-178014</f>
        <v>3745724</v>
      </c>
      <c r="K56" s="66">
        <f>3761173+311830-167590-758</f>
        <v>3904655</v>
      </c>
      <c r="L56" s="66">
        <f>3786445+324096-173400</f>
        <v>3937141</v>
      </c>
      <c r="M56" s="66">
        <f>3749373+459246-183876</f>
        <v>4024743</v>
      </c>
      <c r="N56" s="66">
        <f>3499048+159386</f>
        <v>3658434</v>
      </c>
      <c r="O56" s="66">
        <f>3535243+92515</f>
        <v>3627758</v>
      </c>
      <c r="P56" s="66">
        <v>3678650</v>
      </c>
      <c r="Q56" s="66">
        <f>3577459+132311</f>
        <v>3709770</v>
      </c>
      <c r="R56" s="66">
        <f>3545578+104656</f>
        <v>3650234</v>
      </c>
      <c r="S56" s="8">
        <f>3770331+347738-160193-40511</f>
        <v>3917365</v>
      </c>
      <c r="T56" s="19">
        <f>3749373+459246-183876</f>
        <v>4024743</v>
      </c>
      <c r="U56" s="19">
        <f>3577462+132311</f>
        <v>3709773</v>
      </c>
      <c r="V56" s="19">
        <f>3700662+123157</f>
        <v>3823819</v>
      </c>
      <c r="W56" s="19">
        <f t="shared" ref="W56" si="10">SUM(W57,W58,W59,W63,W74)</f>
        <v>4019213</v>
      </c>
      <c r="X56" s="19">
        <v>3744496</v>
      </c>
      <c r="Y56" s="19">
        <v>4285757</v>
      </c>
    </row>
    <row r="57" spans="1:148" ht="15" customHeight="1" x14ac:dyDescent="0.15">
      <c r="A57" s="48"/>
      <c r="B57" s="86" t="s">
        <v>3</v>
      </c>
      <c r="C57" s="72">
        <v>141886</v>
      </c>
      <c r="D57" s="72">
        <v>316736</v>
      </c>
      <c r="E57" s="72">
        <v>206566</v>
      </c>
      <c r="F57" s="72">
        <v>262843</v>
      </c>
      <c r="G57" s="81">
        <v>352402</v>
      </c>
      <c r="H57" s="72">
        <v>333981</v>
      </c>
      <c r="I57" s="73">
        <f>515936-160193-40511</f>
        <v>315232</v>
      </c>
      <c r="J57" s="73">
        <f>488635-178014</f>
        <v>310621</v>
      </c>
      <c r="K57" s="73">
        <f>485344-167590-758</f>
        <v>316996</v>
      </c>
      <c r="L57" s="73">
        <f>473912+13-173400</f>
        <v>300525</v>
      </c>
      <c r="M57" s="73">
        <f>476213-183876</f>
        <v>292337</v>
      </c>
      <c r="N57" s="73">
        <v>290415</v>
      </c>
      <c r="O57" s="73">
        <v>284478</v>
      </c>
      <c r="P57" s="75">
        <v>281754</v>
      </c>
      <c r="Q57" s="75">
        <f>271767</f>
        <v>271767</v>
      </c>
      <c r="R57" s="93">
        <v>269172</v>
      </c>
      <c r="S57" s="11">
        <f>515936-160193-40511</f>
        <v>315232</v>
      </c>
      <c r="T57" s="11">
        <f>476213-183876</f>
        <v>292337</v>
      </c>
      <c r="U57" s="32">
        <v>271770</v>
      </c>
      <c r="V57" s="32">
        <v>253141</v>
      </c>
      <c r="W57" s="32">
        <v>219401</v>
      </c>
      <c r="X57" s="32">
        <v>188589</v>
      </c>
      <c r="Y57" s="32">
        <v>277115</v>
      </c>
    </row>
    <row r="58" spans="1:148" ht="15" customHeight="1" x14ac:dyDescent="0.15">
      <c r="A58" s="48"/>
      <c r="B58" s="86" t="s">
        <v>14</v>
      </c>
      <c r="C58" s="72">
        <v>86319</v>
      </c>
      <c r="D58" s="72">
        <v>74032</v>
      </c>
      <c r="E58" s="72">
        <v>79847</v>
      </c>
      <c r="F58" s="72">
        <v>71795</v>
      </c>
      <c r="G58" s="81">
        <v>106284</v>
      </c>
      <c r="H58" s="72">
        <v>96475</v>
      </c>
      <c r="I58" s="73">
        <f>90268+0</f>
        <v>90268</v>
      </c>
      <c r="J58" s="73">
        <v>88460</v>
      </c>
      <c r="K58" s="73">
        <f>75507</f>
        <v>75507</v>
      </c>
      <c r="L58" s="73">
        <f>86352+0</f>
        <v>86352</v>
      </c>
      <c r="M58" s="73">
        <f>84161+5</f>
        <v>84166</v>
      </c>
      <c r="N58" s="73">
        <v>85301</v>
      </c>
      <c r="O58" s="73">
        <v>91375</v>
      </c>
      <c r="P58" s="75">
        <v>91564</v>
      </c>
      <c r="Q58" s="75">
        <v>84044</v>
      </c>
      <c r="R58" s="93">
        <v>82786</v>
      </c>
      <c r="S58" s="11">
        <f>90268+0</f>
        <v>90268</v>
      </c>
      <c r="T58" s="11">
        <f>84161+5</f>
        <v>84166</v>
      </c>
      <c r="U58" s="32">
        <v>84044</v>
      </c>
      <c r="V58" s="32">
        <v>76755</v>
      </c>
      <c r="W58" s="32">
        <v>66638</v>
      </c>
      <c r="X58" s="32">
        <v>60080</v>
      </c>
      <c r="Y58" s="32">
        <v>54065</v>
      </c>
    </row>
    <row r="59" spans="1:148" ht="15" customHeight="1" x14ac:dyDescent="0.15">
      <c r="A59" s="48"/>
      <c r="B59" s="86" t="s">
        <v>17</v>
      </c>
      <c r="C59" s="72">
        <f>898563+278473</f>
        <v>1177036</v>
      </c>
      <c r="D59" s="72">
        <f>1094794+449150</f>
        <v>1543944</v>
      </c>
      <c r="E59" s="72">
        <f>1114350+53841</f>
        <v>1168191</v>
      </c>
      <c r="F59" s="72">
        <f>1148007+54094</f>
        <v>1202101</v>
      </c>
      <c r="G59" s="81">
        <f>1153307+137</f>
        <v>1153444</v>
      </c>
      <c r="H59" s="72">
        <f>956358+24473</f>
        <v>980831</v>
      </c>
      <c r="I59" s="73">
        <f>968457+23896</f>
        <v>992353</v>
      </c>
      <c r="J59" s="73">
        <f>1114390+22341</f>
        <v>1136731</v>
      </c>
      <c r="K59" s="73">
        <f>1070571+16328</f>
        <v>1086899</v>
      </c>
      <c r="L59" s="73">
        <f>1049526+13060</f>
        <v>1062586</v>
      </c>
      <c r="M59" s="73">
        <f>860023+9509</f>
        <v>869532</v>
      </c>
      <c r="N59" s="73">
        <f>822464</f>
        <v>822464</v>
      </c>
      <c r="O59" s="73">
        <v>851574</v>
      </c>
      <c r="P59" s="75">
        <v>905249</v>
      </c>
      <c r="Q59" s="75">
        <f>848010+10000</f>
        <v>858010</v>
      </c>
      <c r="R59" s="93">
        <v>838040</v>
      </c>
      <c r="S59" s="11">
        <f>968457+23896</f>
        <v>992353</v>
      </c>
      <c r="T59" s="11">
        <f>860023+9509</f>
        <v>869532</v>
      </c>
      <c r="U59" s="32">
        <f>848010+10000</f>
        <v>858010</v>
      </c>
      <c r="V59" s="32">
        <f>SUM(V60:V62)</f>
        <v>923992</v>
      </c>
      <c r="W59" s="32">
        <v>988077</v>
      </c>
      <c r="X59" s="32">
        <v>808872</v>
      </c>
      <c r="Y59" s="32">
        <v>1084816</v>
      </c>
    </row>
    <row r="60" spans="1:148" s="21" customFormat="1" ht="15" customHeight="1" x14ac:dyDescent="0.15">
      <c r="A60" s="103"/>
      <c r="B60" s="30" t="s">
        <v>27</v>
      </c>
      <c r="C60" s="104">
        <f>201004+1360</f>
        <v>202364</v>
      </c>
      <c r="D60" s="104">
        <v>110989</v>
      </c>
      <c r="E60" s="104">
        <v>154564</v>
      </c>
      <c r="F60" s="104">
        <v>350253</v>
      </c>
      <c r="G60" s="105">
        <v>492552</v>
      </c>
      <c r="H60" s="105">
        <v>388943</v>
      </c>
      <c r="I60" s="106">
        <f>361522</f>
        <v>361522</v>
      </c>
      <c r="J60" s="106">
        <v>441728</v>
      </c>
      <c r="K60" s="106">
        <v>503116</v>
      </c>
      <c r="L60" s="106">
        <v>474139</v>
      </c>
      <c r="M60" s="106">
        <v>203007</v>
      </c>
      <c r="N60" s="106">
        <v>173145</v>
      </c>
      <c r="O60" s="106">
        <v>166224</v>
      </c>
      <c r="P60" s="106">
        <v>163256</v>
      </c>
      <c r="Q60" s="106">
        <v>198595</v>
      </c>
      <c r="R60" s="106">
        <v>176184</v>
      </c>
      <c r="S60" s="31">
        <f>361522</f>
        <v>361522</v>
      </c>
      <c r="T60" s="31">
        <v>203007</v>
      </c>
      <c r="U60" s="31">
        <v>198595</v>
      </c>
      <c r="V60" s="31">
        <v>206589</v>
      </c>
      <c r="W60" s="31">
        <v>191351</v>
      </c>
      <c r="X60" s="31">
        <v>258683</v>
      </c>
      <c r="Y60" s="31">
        <v>260409</v>
      </c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</row>
    <row r="61" spans="1:148" s="21" customFormat="1" ht="15" customHeight="1" x14ac:dyDescent="0.15">
      <c r="A61" s="103"/>
      <c r="B61" s="30" t="s">
        <v>28</v>
      </c>
      <c r="C61" s="104">
        <f>235895+253420</f>
        <v>489315</v>
      </c>
      <c r="D61" s="104">
        <f>255157+416050</f>
        <v>671207</v>
      </c>
      <c r="E61" s="104">
        <f>336929+53841</f>
        <v>390770</v>
      </c>
      <c r="F61" s="104">
        <f>253011+54094</f>
        <v>307105</v>
      </c>
      <c r="G61" s="105">
        <f>200466+137</f>
        <v>200603</v>
      </c>
      <c r="H61" s="105">
        <v>155229</v>
      </c>
      <c r="I61" s="106">
        <f>114627+0</f>
        <v>114627</v>
      </c>
      <c r="J61" s="106">
        <v>109975</v>
      </c>
      <c r="K61" s="106">
        <v>77646</v>
      </c>
      <c r="L61" s="106">
        <v>79693</v>
      </c>
      <c r="M61" s="106">
        <v>98507</v>
      </c>
      <c r="N61" s="106">
        <v>97596</v>
      </c>
      <c r="O61" s="106">
        <v>92953</v>
      </c>
      <c r="P61" s="106">
        <v>84512</v>
      </c>
      <c r="Q61" s="106">
        <v>78724</v>
      </c>
      <c r="R61" s="106">
        <v>89168</v>
      </c>
      <c r="S61" s="31">
        <f>114627+0</f>
        <v>114627</v>
      </c>
      <c r="T61" s="31">
        <v>98507</v>
      </c>
      <c r="U61" s="31">
        <v>78724</v>
      </c>
      <c r="V61" s="31">
        <v>86635</v>
      </c>
      <c r="W61" s="31">
        <v>102420</v>
      </c>
      <c r="X61" s="31">
        <v>114220</v>
      </c>
      <c r="Y61" s="31">
        <v>122831</v>
      </c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</row>
    <row r="62" spans="1:148" s="21" customFormat="1" ht="15" customHeight="1" x14ac:dyDescent="0.15">
      <c r="A62" s="103"/>
      <c r="B62" s="30" t="s">
        <v>61</v>
      </c>
      <c r="C62" s="104">
        <f>461664+23693</f>
        <v>485357</v>
      </c>
      <c r="D62" s="104">
        <f>728648+33100</f>
        <v>761748</v>
      </c>
      <c r="E62" s="104">
        <v>622857</v>
      </c>
      <c r="F62" s="104">
        <v>544743</v>
      </c>
      <c r="G62" s="105">
        <v>460289</v>
      </c>
      <c r="H62" s="105">
        <f>412186+24473</f>
        <v>436659</v>
      </c>
      <c r="I62" s="106">
        <f>492308+23896</f>
        <v>516204</v>
      </c>
      <c r="J62" s="106">
        <f>562687+22341</f>
        <v>585028</v>
      </c>
      <c r="K62" s="106">
        <f>489809+16328</f>
        <v>506137</v>
      </c>
      <c r="L62" s="106">
        <f>495694+13060</f>
        <v>508754</v>
      </c>
      <c r="M62" s="106">
        <f>558509+9509</f>
        <v>568018</v>
      </c>
      <c r="N62" s="106">
        <v>551723</v>
      </c>
      <c r="O62" s="106">
        <v>592397</v>
      </c>
      <c r="P62" s="106">
        <v>657481</v>
      </c>
      <c r="Q62" s="106">
        <f>570691+10000</f>
        <v>580691</v>
      </c>
      <c r="R62" s="106">
        <v>572688</v>
      </c>
      <c r="S62" s="31">
        <f>492308+23896</f>
        <v>516204</v>
      </c>
      <c r="T62" s="31">
        <f>558509+9509</f>
        <v>568018</v>
      </c>
      <c r="U62" s="31">
        <f>570691+10000</f>
        <v>580691</v>
      </c>
      <c r="V62" s="31">
        <v>630768</v>
      </c>
      <c r="W62" s="31">
        <v>694306</v>
      </c>
      <c r="X62" s="31">
        <v>435969</v>
      </c>
      <c r="Y62" s="31">
        <v>701576</v>
      </c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89"/>
      <c r="DB62" s="89"/>
      <c r="DC62" s="89"/>
      <c r="DD62" s="89"/>
      <c r="DE62" s="89"/>
      <c r="DF62" s="89"/>
      <c r="DG62" s="89"/>
      <c r="DH62" s="89"/>
      <c r="DI62" s="89"/>
      <c r="DJ62" s="89"/>
      <c r="DK62" s="89"/>
      <c r="DL62" s="89"/>
      <c r="DM62" s="89"/>
      <c r="DN62" s="89"/>
      <c r="DO62" s="89"/>
      <c r="DP62" s="89"/>
      <c r="DQ62" s="89"/>
      <c r="DR62" s="89"/>
      <c r="DS62" s="89"/>
      <c r="DT62" s="89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</row>
    <row r="63" spans="1:148" s="33" customFormat="1" ht="15" customHeight="1" x14ac:dyDescent="0.15">
      <c r="A63" s="48"/>
      <c r="B63" s="86" t="s">
        <v>59</v>
      </c>
      <c r="C63" s="72">
        <f>47938+1240</f>
        <v>49178</v>
      </c>
      <c r="D63" s="72">
        <f>48489+2745</f>
        <v>51234</v>
      </c>
      <c r="E63" s="72">
        <f>51140+3843</f>
        <v>54983</v>
      </c>
      <c r="F63" s="72">
        <f>111442+116726</f>
        <v>228168</v>
      </c>
      <c r="G63" s="81">
        <f>56100+143753</f>
        <v>199853</v>
      </c>
      <c r="H63" s="81">
        <f>49343+96775</f>
        <v>146118</v>
      </c>
      <c r="I63" s="107">
        <f>38195+319193</f>
        <v>357388</v>
      </c>
      <c r="J63" s="107">
        <f>30042+157078</f>
        <v>187120</v>
      </c>
      <c r="K63" s="107">
        <f>33103+277692</f>
        <v>310795</v>
      </c>
      <c r="L63" s="107">
        <f>32627+291252</f>
        <v>323879</v>
      </c>
      <c r="M63" s="107">
        <f>123479+425539</f>
        <v>549018</v>
      </c>
      <c r="N63" s="107">
        <f>102194+159386</f>
        <v>261580</v>
      </c>
      <c r="O63" s="107">
        <f>86979+92515</f>
        <v>179494</v>
      </c>
      <c r="P63" s="75">
        <v>182108</v>
      </c>
      <c r="Q63" s="75">
        <f>134691+132311</f>
        <v>267002</v>
      </c>
      <c r="R63" s="75">
        <f>132025+104656</f>
        <v>236681</v>
      </c>
      <c r="S63" s="32">
        <f>38195+319193</f>
        <v>357388</v>
      </c>
      <c r="T63" s="32">
        <f>123479+425539</f>
        <v>549018</v>
      </c>
      <c r="U63" s="13">
        <f>134691+132311</f>
        <v>267002</v>
      </c>
      <c r="V63" s="13">
        <f>+V64+V68</f>
        <v>288276</v>
      </c>
      <c r="W63" s="13">
        <f>192961+72801</f>
        <v>265762</v>
      </c>
      <c r="X63" s="13">
        <v>116942</v>
      </c>
      <c r="Y63" s="13">
        <v>364887</v>
      </c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108"/>
      <c r="EF63" s="108"/>
      <c r="EG63" s="108"/>
      <c r="EH63" s="108"/>
      <c r="EI63" s="108"/>
      <c r="EJ63" s="108"/>
      <c r="EK63" s="108"/>
      <c r="EL63" s="108"/>
      <c r="EM63" s="108"/>
      <c r="EN63" s="108"/>
      <c r="EO63" s="108"/>
      <c r="EP63" s="108"/>
      <c r="EQ63" s="108"/>
      <c r="ER63" s="108"/>
    </row>
    <row r="64" spans="1:148" s="33" customFormat="1" ht="15" customHeight="1" x14ac:dyDescent="0.15">
      <c r="A64" s="48"/>
      <c r="B64" s="109" t="s">
        <v>50</v>
      </c>
      <c r="C64" s="87"/>
      <c r="D64" s="110"/>
      <c r="E64" s="110"/>
      <c r="F64" s="110"/>
      <c r="G64" s="81"/>
      <c r="H64" s="81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27">
        <f>SUM(S65:S67)</f>
        <v>0</v>
      </c>
      <c r="T64" s="27">
        <f>SUM(T65:T67)</f>
        <v>0</v>
      </c>
      <c r="U64" s="27">
        <f t="shared" ref="U64" si="11">SUM(U65:U67)</f>
        <v>0</v>
      </c>
      <c r="V64" s="27">
        <v>0</v>
      </c>
      <c r="W64" s="27">
        <v>0</v>
      </c>
      <c r="X64" s="27">
        <v>0</v>
      </c>
      <c r="Y64" s="27">
        <v>0</v>
      </c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8"/>
      <c r="DV64" s="108"/>
      <c r="DW64" s="108"/>
      <c r="DX64" s="108"/>
      <c r="DY64" s="108"/>
      <c r="DZ64" s="108"/>
      <c r="EA64" s="108"/>
      <c r="EB64" s="108"/>
      <c r="EC64" s="108"/>
      <c r="ED64" s="108"/>
      <c r="EE64" s="108"/>
      <c r="EF64" s="108"/>
      <c r="EG64" s="108"/>
      <c r="EH64" s="108"/>
      <c r="EI64" s="108"/>
      <c r="EJ64" s="108"/>
      <c r="EK64" s="108"/>
      <c r="EL64" s="108"/>
      <c r="EM64" s="108"/>
      <c r="EN64" s="108"/>
      <c r="EO64" s="108"/>
      <c r="EP64" s="108"/>
      <c r="EQ64" s="108"/>
      <c r="ER64" s="108"/>
    </row>
    <row r="65" spans="1:148" s="33" customFormat="1" ht="15" customHeight="1" x14ac:dyDescent="0.15">
      <c r="A65" s="48"/>
      <c r="B65" s="30" t="s">
        <v>51</v>
      </c>
      <c r="C65" s="105">
        <v>0</v>
      </c>
      <c r="D65" s="105">
        <v>0</v>
      </c>
      <c r="E65" s="105">
        <v>0</v>
      </c>
      <c r="F65" s="105">
        <v>0</v>
      </c>
      <c r="G65" s="105">
        <v>0</v>
      </c>
      <c r="H65" s="105">
        <v>0</v>
      </c>
      <c r="I65" s="111">
        <v>0</v>
      </c>
      <c r="J65" s="111">
        <v>0</v>
      </c>
      <c r="K65" s="111">
        <v>0</v>
      </c>
      <c r="L65" s="111">
        <v>0</v>
      </c>
      <c r="M65" s="111">
        <v>0</v>
      </c>
      <c r="N65" s="111">
        <v>0</v>
      </c>
      <c r="O65" s="111">
        <v>0</v>
      </c>
      <c r="P65" s="106">
        <v>0</v>
      </c>
      <c r="Q65" s="106">
        <v>0</v>
      </c>
      <c r="R65" s="106">
        <v>0</v>
      </c>
      <c r="S65" s="35">
        <v>0</v>
      </c>
      <c r="T65" s="35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108"/>
      <c r="DA65" s="108"/>
      <c r="DB65" s="108"/>
      <c r="DC65" s="108"/>
      <c r="DD65" s="108"/>
      <c r="DE65" s="108"/>
      <c r="DF65" s="108"/>
      <c r="DG65" s="108"/>
      <c r="DH65" s="108"/>
      <c r="DI65" s="108"/>
      <c r="DJ65" s="108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8"/>
      <c r="DV65" s="108"/>
      <c r="DW65" s="108"/>
      <c r="DX65" s="108"/>
      <c r="DY65" s="108"/>
      <c r="DZ65" s="108"/>
      <c r="EA65" s="108"/>
      <c r="EB65" s="108"/>
      <c r="EC65" s="108"/>
      <c r="ED65" s="108"/>
      <c r="EE65" s="108"/>
      <c r="EF65" s="108"/>
      <c r="EG65" s="108"/>
      <c r="EH65" s="108"/>
      <c r="EI65" s="108"/>
      <c r="EJ65" s="108"/>
      <c r="EK65" s="108"/>
      <c r="EL65" s="108"/>
      <c r="EM65" s="108"/>
      <c r="EN65" s="108"/>
      <c r="EO65" s="108"/>
      <c r="EP65" s="108"/>
      <c r="EQ65" s="108"/>
      <c r="ER65" s="108"/>
    </row>
    <row r="66" spans="1:148" s="33" customFormat="1" ht="15" customHeight="1" x14ac:dyDescent="0.15">
      <c r="A66" s="48"/>
      <c r="B66" s="30" t="s">
        <v>52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83">
        <v>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106">
        <v>0</v>
      </c>
      <c r="Q66" s="106">
        <v>0</v>
      </c>
      <c r="R66" s="106">
        <v>0</v>
      </c>
      <c r="S66" s="36">
        <v>0</v>
      </c>
      <c r="T66" s="36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8"/>
      <c r="EL66" s="108"/>
      <c r="EM66" s="108"/>
      <c r="EN66" s="108"/>
      <c r="EO66" s="108"/>
      <c r="EP66" s="108"/>
      <c r="EQ66" s="108"/>
      <c r="ER66" s="108"/>
    </row>
    <row r="67" spans="1:148" s="33" customFormat="1" ht="15" customHeight="1" x14ac:dyDescent="0.15">
      <c r="A67" s="48"/>
      <c r="B67" s="30" t="s">
        <v>53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106">
        <v>0</v>
      </c>
      <c r="Q67" s="106">
        <v>0</v>
      </c>
      <c r="R67" s="106">
        <v>0</v>
      </c>
      <c r="S67" s="36">
        <v>0</v>
      </c>
      <c r="T67" s="36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</row>
    <row r="68" spans="1:148" s="33" customFormat="1" ht="15" customHeight="1" x14ac:dyDescent="0.15">
      <c r="A68" s="48"/>
      <c r="B68" s="82" t="s">
        <v>64</v>
      </c>
      <c r="C68" s="72"/>
      <c r="D68" s="110"/>
      <c r="E68" s="110"/>
      <c r="F68" s="110"/>
      <c r="G68" s="81"/>
      <c r="H68" s="81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11">
        <f>SUM(S69:S73)</f>
        <v>357388</v>
      </c>
      <c r="T68" s="11">
        <f>SUM(T69:T73)</f>
        <v>549018</v>
      </c>
      <c r="U68" s="11">
        <f t="shared" ref="U68" si="12">SUM(U69:U73)</f>
        <v>267002</v>
      </c>
      <c r="V68" s="11">
        <f>SUM(V69:V73)</f>
        <v>288276</v>
      </c>
      <c r="W68" s="11">
        <f>192961+72801</f>
        <v>265762</v>
      </c>
      <c r="X68" s="11">
        <v>116942</v>
      </c>
      <c r="Y68" s="11">
        <v>364887</v>
      </c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8"/>
      <c r="EL68" s="108"/>
      <c r="EM68" s="108"/>
      <c r="EN68" s="108"/>
      <c r="EO68" s="108"/>
      <c r="EP68" s="108"/>
      <c r="EQ68" s="108"/>
      <c r="ER68" s="108"/>
    </row>
    <row r="69" spans="1:148" s="37" customFormat="1" ht="15" customHeight="1" x14ac:dyDescent="0.15">
      <c r="A69" s="103"/>
      <c r="B69" s="30" t="s">
        <v>54</v>
      </c>
      <c r="C69" s="104">
        <v>2462</v>
      </c>
      <c r="D69" s="104">
        <v>2144</v>
      </c>
      <c r="E69" s="36">
        <v>0</v>
      </c>
      <c r="F69" s="36">
        <v>5892</v>
      </c>
      <c r="G69" s="105">
        <f>7976+0</f>
        <v>7976</v>
      </c>
      <c r="H69" s="105">
        <v>1367</v>
      </c>
      <c r="I69" s="106">
        <v>2426</v>
      </c>
      <c r="J69" s="106">
        <v>2425</v>
      </c>
      <c r="K69" s="106">
        <v>2160</v>
      </c>
      <c r="L69" s="106">
        <v>2124</v>
      </c>
      <c r="M69" s="106">
        <v>5707</v>
      </c>
      <c r="N69" s="106">
        <f>4998+0</f>
        <v>4998</v>
      </c>
      <c r="O69" s="106">
        <v>2273</v>
      </c>
      <c r="P69" s="106">
        <v>2126</v>
      </c>
      <c r="Q69" s="106">
        <v>1996</v>
      </c>
      <c r="R69" s="106">
        <v>2262</v>
      </c>
      <c r="S69" s="31">
        <v>2426</v>
      </c>
      <c r="T69" s="31">
        <v>5707</v>
      </c>
      <c r="U69" s="31">
        <v>1996</v>
      </c>
      <c r="V69" s="31">
        <v>2911</v>
      </c>
      <c r="W69" s="31">
        <v>1768</v>
      </c>
      <c r="X69" s="31">
        <v>679</v>
      </c>
      <c r="Y69" s="31">
        <v>3249</v>
      </c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  <c r="CN69" s="112"/>
      <c r="CO69" s="112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2"/>
      <c r="DA69" s="112"/>
      <c r="DB69" s="112"/>
      <c r="DC69" s="112"/>
      <c r="DD69" s="112"/>
      <c r="DE69" s="112"/>
      <c r="DF69" s="112"/>
      <c r="DG69" s="112"/>
      <c r="DH69" s="112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12"/>
      <c r="EA69" s="112"/>
      <c r="EB69" s="112"/>
      <c r="EC69" s="112"/>
      <c r="ED69" s="112"/>
      <c r="EE69" s="112"/>
      <c r="EF69" s="112"/>
      <c r="EG69" s="112"/>
      <c r="EH69" s="112"/>
      <c r="EI69" s="112"/>
      <c r="EJ69" s="112"/>
      <c r="EK69" s="112"/>
      <c r="EL69" s="112"/>
      <c r="EM69" s="112"/>
      <c r="EN69" s="112"/>
      <c r="EO69" s="112"/>
      <c r="EP69" s="112"/>
      <c r="EQ69" s="112"/>
      <c r="ER69" s="112"/>
    </row>
    <row r="70" spans="1:148" s="37" customFormat="1" ht="15" customHeight="1" x14ac:dyDescent="0.15">
      <c r="A70" s="103"/>
      <c r="B70" s="30" t="s">
        <v>55</v>
      </c>
      <c r="C70" s="104">
        <f>1557+1240</f>
        <v>2797</v>
      </c>
      <c r="D70" s="104">
        <f>3417+2745</f>
        <v>6162</v>
      </c>
      <c r="E70" s="104">
        <f>5174+3843</f>
        <v>9017</v>
      </c>
      <c r="F70" s="104">
        <v>9702</v>
      </c>
      <c r="G70" s="105">
        <f>252+2117</f>
        <v>2369</v>
      </c>
      <c r="H70" s="105">
        <f>5457+1487</f>
        <v>6944</v>
      </c>
      <c r="I70" s="106">
        <f>4883+4104</f>
        <v>8987</v>
      </c>
      <c r="J70" s="106">
        <f>2092+8859</f>
        <v>10951</v>
      </c>
      <c r="K70" s="106">
        <f>191+2813</f>
        <v>3004</v>
      </c>
      <c r="L70" s="106">
        <f>178+847</f>
        <v>1025</v>
      </c>
      <c r="M70" s="106">
        <f>166+7</f>
        <v>173</v>
      </c>
      <c r="N70" s="106">
        <v>153</v>
      </c>
      <c r="O70" s="106">
        <v>141</v>
      </c>
      <c r="P70" s="106">
        <v>129</v>
      </c>
      <c r="Q70" s="106">
        <v>424</v>
      </c>
      <c r="R70" s="106">
        <v>421</v>
      </c>
      <c r="S70" s="31">
        <f>4883+4104</f>
        <v>8987</v>
      </c>
      <c r="T70" s="31">
        <f>166+7</f>
        <v>173</v>
      </c>
      <c r="U70" s="31">
        <v>424</v>
      </c>
      <c r="V70" s="31">
        <v>0</v>
      </c>
      <c r="W70" s="31">
        <v>0</v>
      </c>
      <c r="X70" s="31">
        <v>4779</v>
      </c>
      <c r="Y70" s="31">
        <v>4152</v>
      </c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/>
      <c r="CN70" s="112"/>
      <c r="CO70" s="112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2"/>
      <c r="DA70" s="112"/>
      <c r="DB70" s="112"/>
      <c r="DC70" s="112"/>
      <c r="DD70" s="112"/>
      <c r="DE70" s="112"/>
      <c r="DF70" s="112"/>
      <c r="DG70" s="112"/>
      <c r="DH70" s="112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12"/>
      <c r="EA70" s="112"/>
      <c r="EB70" s="112"/>
      <c r="EC70" s="112"/>
      <c r="ED70" s="112"/>
      <c r="EE70" s="112"/>
      <c r="EF70" s="112"/>
      <c r="EG70" s="112"/>
      <c r="EH70" s="112"/>
      <c r="EI70" s="112"/>
      <c r="EJ70" s="112"/>
      <c r="EK70" s="112"/>
      <c r="EL70" s="112"/>
      <c r="EM70" s="112"/>
      <c r="EN70" s="112"/>
      <c r="EO70" s="112"/>
      <c r="EP70" s="112"/>
      <c r="EQ70" s="112"/>
      <c r="ER70" s="112"/>
    </row>
    <row r="71" spans="1:148" s="37" customFormat="1" ht="15" customHeight="1" x14ac:dyDescent="0.15">
      <c r="A71" s="103"/>
      <c r="B71" s="30" t="s">
        <v>56</v>
      </c>
      <c r="C71" s="113">
        <v>0</v>
      </c>
      <c r="D71" s="104">
        <v>18334</v>
      </c>
      <c r="E71" s="104">
        <v>23660</v>
      </c>
      <c r="F71" s="104">
        <v>19032</v>
      </c>
      <c r="G71" s="105">
        <f>17434+0</f>
        <v>17434</v>
      </c>
      <c r="H71" s="105">
        <v>16850</v>
      </c>
      <c r="I71" s="106">
        <f>7929+0</f>
        <v>7929</v>
      </c>
      <c r="J71" s="106">
        <v>6334</v>
      </c>
      <c r="K71" s="106">
        <v>7547</v>
      </c>
      <c r="L71" s="106">
        <f>2004+0</f>
        <v>2004</v>
      </c>
      <c r="M71" s="106">
        <v>97579</v>
      </c>
      <c r="N71" s="106">
        <f>72818+0</f>
        <v>72818</v>
      </c>
      <c r="O71" s="106">
        <v>18601</v>
      </c>
      <c r="P71" s="106">
        <v>45916</v>
      </c>
      <c r="Q71" s="106">
        <v>65590</v>
      </c>
      <c r="R71" s="106">
        <v>64468</v>
      </c>
      <c r="S71" s="31">
        <f>7929+0</f>
        <v>7929</v>
      </c>
      <c r="T71" s="31">
        <v>97579</v>
      </c>
      <c r="U71" s="31">
        <v>65590</v>
      </c>
      <c r="V71" s="31">
        <v>104079</v>
      </c>
      <c r="W71" s="31">
        <v>1323</v>
      </c>
      <c r="X71" s="31">
        <v>0</v>
      </c>
      <c r="Y71" s="31">
        <v>0</v>
      </c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CN71" s="112"/>
      <c r="CO71" s="112"/>
      <c r="CP71" s="112"/>
      <c r="CQ71" s="112"/>
      <c r="CR71" s="112"/>
      <c r="CS71" s="112"/>
      <c r="CT71" s="112"/>
      <c r="CU71" s="112"/>
      <c r="CV71" s="112"/>
      <c r="CW71" s="112"/>
      <c r="CX71" s="112"/>
      <c r="CY71" s="112"/>
      <c r="CZ71" s="112"/>
      <c r="DA71" s="112"/>
      <c r="DB71" s="112"/>
      <c r="DC71" s="112"/>
      <c r="DD71" s="112"/>
      <c r="DE71" s="112"/>
      <c r="DF71" s="112"/>
      <c r="DG71" s="112"/>
      <c r="DH71" s="112"/>
      <c r="DI71" s="112"/>
      <c r="DJ71" s="112"/>
      <c r="DK71" s="112"/>
      <c r="DL71" s="112"/>
      <c r="DM71" s="112"/>
      <c r="DN71" s="112"/>
      <c r="DO71" s="112"/>
      <c r="DP71" s="112"/>
      <c r="DQ71" s="112"/>
      <c r="DR71" s="112"/>
      <c r="DS71" s="112"/>
      <c r="DT71" s="112"/>
      <c r="DU71" s="112"/>
      <c r="DV71" s="112"/>
      <c r="DW71" s="112"/>
      <c r="DX71" s="112"/>
      <c r="DY71" s="112"/>
      <c r="DZ71" s="112"/>
      <c r="EA71" s="112"/>
      <c r="EB71" s="112"/>
      <c r="EC71" s="112"/>
      <c r="ED71" s="112"/>
      <c r="EE71" s="112"/>
      <c r="EF71" s="112"/>
      <c r="EG71" s="112"/>
      <c r="EH71" s="112"/>
      <c r="EI71" s="112"/>
      <c r="EJ71" s="112"/>
      <c r="EK71" s="112"/>
      <c r="EL71" s="112"/>
      <c r="EM71" s="112"/>
      <c r="EN71" s="112"/>
      <c r="EO71" s="112"/>
      <c r="EP71" s="112"/>
      <c r="EQ71" s="112"/>
      <c r="ER71" s="112"/>
    </row>
    <row r="72" spans="1:148" s="37" customFormat="1" ht="15" customHeight="1" x14ac:dyDescent="0.15">
      <c r="A72" s="103"/>
      <c r="B72" s="38" t="s">
        <v>57</v>
      </c>
      <c r="C72" s="104">
        <v>43919</v>
      </c>
      <c r="D72" s="104">
        <v>24594</v>
      </c>
      <c r="E72" s="104">
        <v>22306</v>
      </c>
      <c r="F72" s="104">
        <f>76816+116726</f>
        <v>193542</v>
      </c>
      <c r="G72" s="105">
        <f>9734+141636</f>
        <v>151370</v>
      </c>
      <c r="H72" s="105">
        <f>3130+43494</f>
        <v>46624</v>
      </c>
      <c r="I72" s="106">
        <f>1538+160686</f>
        <v>162224</v>
      </c>
      <c r="J72" s="106">
        <f>1270+128882</f>
        <v>130152</v>
      </c>
      <c r="K72" s="106">
        <f>5284+132683</f>
        <v>137967</v>
      </c>
      <c r="L72" s="106">
        <f>4311+153854</f>
        <v>158165</v>
      </c>
      <c r="M72" s="106">
        <f>281997+4373</f>
        <v>286370</v>
      </c>
      <c r="N72" s="106">
        <f>14620+159386</f>
        <v>174006</v>
      </c>
      <c r="O72" s="106">
        <f>53307+92515</f>
        <v>145822</v>
      </c>
      <c r="P72" s="106">
        <v>92429</v>
      </c>
      <c r="Q72" s="106">
        <f>57530+132311</f>
        <v>189841</v>
      </c>
      <c r="R72" s="106">
        <f>55748+104656</f>
        <v>160404</v>
      </c>
      <c r="S72" s="31">
        <f>1538+160686</f>
        <v>162224</v>
      </c>
      <c r="T72" s="31">
        <f>281997+4373</f>
        <v>286370</v>
      </c>
      <c r="U72" s="31">
        <f>57530+132311</f>
        <v>189841</v>
      </c>
      <c r="V72" s="31">
        <f>52301+123157</f>
        <v>175458</v>
      </c>
      <c r="W72" s="31">
        <f>192961+64019</f>
        <v>256980</v>
      </c>
      <c r="X72" s="31">
        <v>107110</v>
      </c>
      <c r="Y72" s="31">
        <v>347135</v>
      </c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112"/>
      <c r="CM72" s="112"/>
      <c r="CN72" s="112"/>
      <c r="CO72" s="112"/>
      <c r="CP72" s="112"/>
      <c r="CQ72" s="112"/>
      <c r="CR72" s="112"/>
      <c r="CS72" s="112"/>
      <c r="CT72" s="112"/>
      <c r="CU72" s="112"/>
      <c r="CV72" s="112"/>
      <c r="CW72" s="112"/>
      <c r="CX72" s="112"/>
      <c r="CY72" s="112"/>
      <c r="CZ72" s="112"/>
      <c r="DA72" s="112"/>
      <c r="DB72" s="112"/>
      <c r="DC72" s="112"/>
      <c r="DD72" s="112"/>
      <c r="DE72" s="112"/>
      <c r="DF72" s="112"/>
      <c r="DG72" s="112"/>
      <c r="DH72" s="112"/>
      <c r="DI72" s="112"/>
      <c r="DJ72" s="112"/>
      <c r="DK72" s="112"/>
      <c r="DL72" s="112"/>
      <c r="DM72" s="112"/>
      <c r="DN72" s="112"/>
      <c r="DO72" s="112"/>
      <c r="DP72" s="112"/>
      <c r="DQ72" s="112"/>
      <c r="DR72" s="112"/>
      <c r="DS72" s="112"/>
      <c r="DT72" s="112"/>
      <c r="DU72" s="112"/>
      <c r="DV72" s="112"/>
      <c r="DW72" s="112"/>
      <c r="DX72" s="112"/>
      <c r="DY72" s="112"/>
      <c r="DZ72" s="112"/>
      <c r="EA72" s="112"/>
      <c r="EB72" s="112"/>
      <c r="EC72" s="112"/>
      <c r="ED72" s="112"/>
      <c r="EE72" s="112"/>
      <c r="EF72" s="112"/>
      <c r="EG72" s="112"/>
      <c r="EH72" s="112"/>
      <c r="EI72" s="112"/>
      <c r="EJ72" s="112"/>
      <c r="EK72" s="112"/>
      <c r="EL72" s="112"/>
      <c r="EM72" s="112"/>
      <c r="EN72" s="112"/>
      <c r="EO72" s="112"/>
      <c r="EP72" s="112"/>
      <c r="EQ72" s="112"/>
      <c r="ER72" s="112"/>
    </row>
    <row r="73" spans="1:148" s="37" customFormat="1" ht="15" customHeight="1" x14ac:dyDescent="0.15">
      <c r="A73" s="103"/>
      <c r="B73" s="89" t="s">
        <v>62</v>
      </c>
      <c r="C73" s="110">
        <v>0</v>
      </c>
      <c r="D73" s="110">
        <v>0</v>
      </c>
      <c r="E73" s="110">
        <v>0</v>
      </c>
      <c r="F73" s="110">
        <v>0</v>
      </c>
      <c r="G73" s="114">
        <v>20704</v>
      </c>
      <c r="H73" s="114">
        <f>22519+51814</f>
        <v>74333</v>
      </c>
      <c r="I73" s="106">
        <f>21419+154403</f>
        <v>175822</v>
      </c>
      <c r="J73" s="106">
        <f>17921+19337</f>
        <v>37258</v>
      </c>
      <c r="K73" s="106">
        <f>17921+142196</f>
        <v>160117</v>
      </c>
      <c r="L73" s="106">
        <f>24010+136551</f>
        <v>160561</v>
      </c>
      <c r="M73" s="106">
        <f>15654+143535</f>
        <v>159189</v>
      </c>
      <c r="N73" s="106">
        <f>9605</f>
        <v>9605</v>
      </c>
      <c r="O73" s="106">
        <v>12657</v>
      </c>
      <c r="P73" s="106">
        <v>41508</v>
      </c>
      <c r="Q73" s="106">
        <v>9151</v>
      </c>
      <c r="R73" s="106">
        <v>9124</v>
      </c>
      <c r="S73" s="115">
        <f>21419+154403</f>
        <v>175822</v>
      </c>
      <c r="T73" s="31">
        <f>15654+143535</f>
        <v>159189</v>
      </c>
      <c r="U73" s="31">
        <v>9151</v>
      </c>
      <c r="V73" s="31">
        <v>5828</v>
      </c>
      <c r="W73" s="31">
        <v>5691</v>
      </c>
      <c r="X73" s="31">
        <v>4374</v>
      </c>
      <c r="Y73" s="31">
        <v>10351</v>
      </c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12"/>
      <c r="EQ73" s="112"/>
      <c r="ER73" s="112"/>
    </row>
    <row r="74" spans="1:148" ht="15" customHeight="1" x14ac:dyDescent="0.15">
      <c r="A74" s="48"/>
      <c r="B74" s="86" t="s">
        <v>4</v>
      </c>
      <c r="C74" s="72">
        <f>1533720+7071</f>
        <v>1540791</v>
      </c>
      <c r="D74" s="72">
        <f>1781708+15710</f>
        <v>1797418</v>
      </c>
      <c r="E74" s="72">
        <f>1952243+27</f>
        <v>1952270</v>
      </c>
      <c r="F74" s="72">
        <v>2015679</v>
      </c>
      <c r="G74" s="81">
        <v>2059694</v>
      </c>
      <c r="H74" s="72">
        <f>2224536+4526</f>
        <v>2229062</v>
      </c>
      <c r="I74" s="93">
        <f>2157475+4649</f>
        <v>2162124</v>
      </c>
      <c r="J74" s="93">
        <f>2005044+17748</f>
        <v>2022792</v>
      </c>
      <c r="K74" s="93">
        <f>2096648+17810</f>
        <v>2114458</v>
      </c>
      <c r="L74" s="93">
        <f>2144028+19771</f>
        <v>2163799</v>
      </c>
      <c r="M74" s="93">
        <f>2205497+24193</f>
        <v>2229690</v>
      </c>
      <c r="N74" s="93">
        <f>2198670</f>
        <v>2198670</v>
      </c>
      <c r="O74" s="93">
        <v>2220837</v>
      </c>
      <c r="P74" s="75">
        <v>2217975</v>
      </c>
      <c r="Q74" s="75">
        <f>2238947-10000</f>
        <v>2228947</v>
      </c>
      <c r="R74" s="93">
        <v>2223555</v>
      </c>
      <c r="S74" s="24">
        <f>2157475+4649</f>
        <v>2162124</v>
      </c>
      <c r="T74" s="24">
        <f>2205497+24193</f>
        <v>2229690</v>
      </c>
      <c r="U74" s="13">
        <f>2238947-10000</f>
        <v>2228947</v>
      </c>
      <c r="V74" s="24">
        <f t="shared" ref="V74" si="13">SUM(V75:V78)</f>
        <v>2281655</v>
      </c>
      <c r="W74" s="24">
        <v>2479335</v>
      </c>
      <c r="X74" s="24">
        <v>2570013</v>
      </c>
      <c r="Y74" s="24">
        <v>2504874</v>
      </c>
    </row>
    <row r="75" spans="1:148" ht="15" customHeight="1" x14ac:dyDescent="0.15">
      <c r="A75" s="48"/>
      <c r="B75" s="30" t="s">
        <v>29</v>
      </c>
      <c r="C75" s="104">
        <f>1308168+5719</f>
        <v>1313887</v>
      </c>
      <c r="D75" s="104">
        <f>1554964+12810</f>
        <v>1567774</v>
      </c>
      <c r="E75" s="104">
        <v>1650722</v>
      </c>
      <c r="F75" s="104">
        <v>1750259</v>
      </c>
      <c r="G75" s="105">
        <v>1784564</v>
      </c>
      <c r="H75" s="105">
        <f>1849086+1107</f>
        <v>1850193</v>
      </c>
      <c r="I75" s="106">
        <f>1845168+3917</f>
        <v>1849085</v>
      </c>
      <c r="J75" s="106">
        <f>1727690+17722</f>
        <v>1745412</v>
      </c>
      <c r="K75" s="106">
        <f>1719532+17810</f>
        <v>1737342</v>
      </c>
      <c r="L75" s="106">
        <f>1752640+19771</f>
        <v>1772411</v>
      </c>
      <c r="M75" s="106">
        <f>1849710+24164</f>
        <v>1873874</v>
      </c>
      <c r="N75" s="106">
        <v>1868552</v>
      </c>
      <c r="O75" s="106">
        <v>1878621</v>
      </c>
      <c r="P75" s="106">
        <v>1851255</v>
      </c>
      <c r="Q75" s="106">
        <f>1874374-10000</f>
        <v>1864374</v>
      </c>
      <c r="R75" s="106">
        <v>1867623</v>
      </c>
      <c r="S75" s="31">
        <f>1845168+3917</f>
        <v>1849085</v>
      </c>
      <c r="T75" s="31">
        <f>1849710+24164</f>
        <v>1873874</v>
      </c>
      <c r="U75" s="31">
        <f>1874374-10000</f>
        <v>1864374</v>
      </c>
      <c r="V75" s="31">
        <v>1921087</v>
      </c>
      <c r="W75" s="31">
        <v>2063763</v>
      </c>
      <c r="X75" s="31">
        <v>2137044</v>
      </c>
      <c r="Y75" s="31">
        <v>2126153</v>
      </c>
    </row>
    <row r="76" spans="1:148" ht="15" customHeight="1" x14ac:dyDescent="0.15">
      <c r="A76" s="48"/>
      <c r="B76" s="30" t="s">
        <v>30</v>
      </c>
      <c r="C76" s="104">
        <f>56397+518</f>
        <v>56915</v>
      </c>
      <c r="D76" s="104">
        <f>52757+518</f>
        <v>53275</v>
      </c>
      <c r="E76" s="104">
        <v>84264</v>
      </c>
      <c r="F76" s="104">
        <v>59770</v>
      </c>
      <c r="G76" s="105">
        <v>44144</v>
      </c>
      <c r="H76" s="105">
        <v>39640</v>
      </c>
      <c r="I76" s="106">
        <f>36730+0</f>
        <v>36730</v>
      </c>
      <c r="J76" s="106">
        <v>36159</v>
      </c>
      <c r="K76" s="106">
        <f>37554+0</f>
        <v>37554</v>
      </c>
      <c r="L76" s="106">
        <v>39491</v>
      </c>
      <c r="M76" s="106">
        <v>41089</v>
      </c>
      <c r="N76" s="106">
        <v>42416</v>
      </c>
      <c r="O76" s="106">
        <v>43170</v>
      </c>
      <c r="P76" s="106">
        <v>56280</v>
      </c>
      <c r="Q76" s="106">
        <v>49439</v>
      </c>
      <c r="R76" s="106">
        <v>51798</v>
      </c>
      <c r="S76" s="31">
        <f>36730+0</f>
        <v>36730</v>
      </c>
      <c r="T76" s="31">
        <v>41089</v>
      </c>
      <c r="U76" s="31">
        <v>49439</v>
      </c>
      <c r="V76" s="31">
        <v>55015</v>
      </c>
      <c r="W76" s="31">
        <v>60546</v>
      </c>
      <c r="X76" s="31">
        <v>73304</v>
      </c>
      <c r="Y76" s="31">
        <v>68739</v>
      </c>
    </row>
    <row r="77" spans="1:148" ht="15" customHeight="1" x14ac:dyDescent="0.15">
      <c r="A77" s="48"/>
      <c r="B77" s="30" t="s">
        <v>31</v>
      </c>
      <c r="C77" s="104">
        <f>5724+31</f>
        <v>5755</v>
      </c>
      <c r="D77" s="104">
        <f>1986+31</f>
        <v>2017</v>
      </c>
      <c r="E77" s="104">
        <v>3806</v>
      </c>
      <c r="F77" s="104">
        <v>5608</v>
      </c>
      <c r="G77" s="105">
        <v>5383</v>
      </c>
      <c r="H77" s="105">
        <v>5143</v>
      </c>
      <c r="I77" s="106">
        <v>6196</v>
      </c>
      <c r="J77" s="106">
        <v>5951</v>
      </c>
      <c r="K77" s="106">
        <f>6027+0</f>
        <v>6027</v>
      </c>
      <c r="L77" s="106">
        <v>6761</v>
      </c>
      <c r="M77" s="106">
        <v>6891</v>
      </c>
      <c r="N77" s="106">
        <v>7046</v>
      </c>
      <c r="O77" s="106">
        <v>6896</v>
      </c>
      <c r="P77" s="106">
        <v>7489</v>
      </c>
      <c r="Q77" s="106">
        <v>7581</v>
      </c>
      <c r="R77" s="106">
        <v>6937</v>
      </c>
      <c r="S77" s="31">
        <v>6196</v>
      </c>
      <c r="T77" s="31">
        <v>6891</v>
      </c>
      <c r="U77" s="31">
        <v>7581</v>
      </c>
      <c r="V77" s="31">
        <v>7139</v>
      </c>
      <c r="W77" s="31">
        <v>7658</v>
      </c>
      <c r="X77" s="31">
        <v>7003</v>
      </c>
      <c r="Y77" s="31">
        <v>5611</v>
      </c>
    </row>
    <row r="78" spans="1:148" ht="15" customHeight="1" x14ac:dyDescent="0.15">
      <c r="A78" s="48"/>
      <c r="B78" s="30" t="s">
        <v>32</v>
      </c>
      <c r="C78" s="104">
        <f>163431+803</f>
        <v>164234</v>
      </c>
      <c r="D78" s="104">
        <f>172001+2351</f>
        <v>174352</v>
      </c>
      <c r="E78" s="104">
        <f>213451+27</f>
        <v>213478</v>
      </c>
      <c r="F78" s="104">
        <v>200042</v>
      </c>
      <c r="G78" s="105">
        <f>225377+226</f>
        <v>225603</v>
      </c>
      <c r="H78" s="105">
        <f>330667+3419</f>
        <v>334086</v>
      </c>
      <c r="I78" s="106">
        <f>269381+732</f>
        <v>270113</v>
      </c>
      <c r="J78" s="106">
        <f>235244+26</f>
        <v>235270</v>
      </c>
      <c r="K78" s="106">
        <f>310135+23400</f>
        <v>333535</v>
      </c>
      <c r="L78" s="106">
        <v>345136</v>
      </c>
      <c r="M78" s="106">
        <f>307807+29</f>
        <v>307836</v>
      </c>
      <c r="N78" s="106">
        <v>280657</v>
      </c>
      <c r="O78" s="106">
        <v>274050</v>
      </c>
      <c r="P78" s="106">
        <v>302951</v>
      </c>
      <c r="Q78" s="106">
        <v>307553</v>
      </c>
      <c r="R78" s="106">
        <f>281134+16063</f>
        <v>297197</v>
      </c>
      <c r="S78" s="31">
        <f>269381+732</f>
        <v>270113</v>
      </c>
      <c r="T78" s="31">
        <f>307807+29</f>
        <v>307836</v>
      </c>
      <c r="U78" s="31">
        <v>307553</v>
      </c>
      <c r="V78" s="31">
        <f>276025+22389</f>
        <v>298414</v>
      </c>
      <c r="W78" s="31">
        <f>259043+88325</f>
        <v>347368</v>
      </c>
      <c r="X78" s="31">
        <v>352662</v>
      </c>
      <c r="Y78" s="31">
        <v>304371</v>
      </c>
    </row>
    <row r="79" spans="1:148" ht="6" customHeight="1" x14ac:dyDescent="0.15">
      <c r="A79" s="48"/>
      <c r="B79" s="30"/>
      <c r="C79" s="116"/>
      <c r="D79" s="116"/>
      <c r="E79" s="116"/>
      <c r="F79" s="116"/>
      <c r="G79" s="117"/>
      <c r="H79" s="117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8"/>
      <c r="T79" s="8"/>
      <c r="U79" s="8"/>
      <c r="V79" s="8"/>
      <c r="W79" s="8"/>
      <c r="X79" s="8"/>
      <c r="Y79" s="8"/>
    </row>
    <row r="80" spans="1:148" ht="15" customHeight="1" x14ac:dyDescent="0.15">
      <c r="A80" s="48"/>
      <c r="B80" s="118" t="s">
        <v>38</v>
      </c>
      <c r="C80" s="69">
        <f>1700857+6352617</f>
        <v>8053474</v>
      </c>
      <c r="D80" s="69">
        <f>1862554+5396870</f>
        <v>7259424</v>
      </c>
      <c r="E80" s="69">
        <f>1844167+3721890</f>
        <v>5566057</v>
      </c>
      <c r="F80" s="69">
        <f>1737153+4124578</f>
        <v>5861731</v>
      </c>
      <c r="G80" s="64">
        <f>1820606+1740162</f>
        <v>3560768</v>
      </c>
      <c r="H80" s="64">
        <f>1528627+1775167</f>
        <v>3303794</v>
      </c>
      <c r="I80" s="66">
        <f>1036843+1738110</f>
        <v>2774953</v>
      </c>
      <c r="J80" s="66">
        <f>1072241+1641448</f>
        <v>2713689</v>
      </c>
      <c r="K80" s="66">
        <f>1070553+1654370</f>
        <v>2724923</v>
      </c>
      <c r="L80" s="66">
        <f>992903+1697245</f>
        <v>2690148</v>
      </c>
      <c r="M80" s="66">
        <f>1076626+2213399</f>
        <v>3290025</v>
      </c>
      <c r="N80" s="66">
        <f>979165+2779558</f>
        <v>3758723</v>
      </c>
      <c r="O80" s="66">
        <f>985084+3256497</f>
        <v>4241581</v>
      </c>
      <c r="P80" s="66">
        <v>6577435</v>
      </c>
      <c r="Q80" s="66">
        <f>3536354+4616662</f>
        <v>8153016</v>
      </c>
      <c r="R80" s="66">
        <f>3610830+4731341</f>
        <v>8342171</v>
      </c>
      <c r="S80" s="8">
        <f>1036843+1738110</f>
        <v>2774953</v>
      </c>
      <c r="T80" s="19">
        <f>1076626+2213399</f>
        <v>3290025</v>
      </c>
      <c r="U80" s="19">
        <f>3536354+4616662</f>
        <v>8153016</v>
      </c>
      <c r="V80" s="19">
        <f t="shared" ref="V80" si="14">SUM(V81:V85)</f>
        <v>7371615</v>
      </c>
      <c r="W80" s="19">
        <f t="shared" ref="W80" si="15">SUM(W81:W85)</f>
        <v>6505473</v>
      </c>
      <c r="X80" s="19">
        <v>4990447</v>
      </c>
      <c r="Y80" s="19">
        <v>2056578</v>
      </c>
    </row>
    <row r="81" spans="1:148" s="124" customFormat="1" ht="15" customHeight="1" x14ac:dyDescent="0.15">
      <c r="A81" s="119"/>
      <c r="B81" s="120" t="s">
        <v>20</v>
      </c>
      <c r="C81" s="88" t="s">
        <v>22</v>
      </c>
      <c r="D81" s="88" t="s">
        <v>22</v>
      </c>
      <c r="E81" s="88" t="s">
        <v>22</v>
      </c>
      <c r="F81" s="88" t="s">
        <v>22</v>
      </c>
      <c r="G81" s="72">
        <v>117</v>
      </c>
      <c r="H81" s="81">
        <f>277+3738</f>
        <v>4015</v>
      </c>
      <c r="I81" s="121">
        <f>90541+3712</f>
        <v>94253</v>
      </c>
      <c r="J81" s="121">
        <f>90592+188</f>
        <v>90780</v>
      </c>
      <c r="K81" s="121">
        <f>91052+156</f>
        <v>91208</v>
      </c>
      <c r="L81" s="121">
        <f>41126+103</f>
        <v>41229</v>
      </c>
      <c r="M81" s="121">
        <f>41317+100</f>
        <v>41417</v>
      </c>
      <c r="N81" s="121">
        <f>40319</f>
        <v>40319</v>
      </c>
      <c r="O81" s="122">
        <v>40386</v>
      </c>
      <c r="P81" s="123">
        <v>40643</v>
      </c>
      <c r="Q81" s="123">
        <f>40000+300</f>
        <v>40300</v>
      </c>
      <c r="R81" s="123">
        <f>40000+0</f>
        <v>40000</v>
      </c>
      <c r="S81" s="32">
        <f>90541+3712</f>
        <v>94253</v>
      </c>
      <c r="T81" s="32">
        <f>41317+100</f>
        <v>41417</v>
      </c>
      <c r="U81" s="32">
        <f>40000+300</f>
        <v>40300</v>
      </c>
      <c r="V81" s="32">
        <f>1148+40000</f>
        <v>41148</v>
      </c>
      <c r="W81" s="32">
        <v>440</v>
      </c>
      <c r="X81" s="32">
        <v>842</v>
      </c>
      <c r="Y81" s="32">
        <v>33534</v>
      </c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</row>
    <row r="82" spans="1:148" s="124" customFormat="1" ht="15" customHeight="1" x14ac:dyDescent="0.15">
      <c r="A82" s="119"/>
      <c r="B82" s="125" t="s">
        <v>47</v>
      </c>
      <c r="C82" s="88" t="s">
        <v>22</v>
      </c>
      <c r="D82" s="88" t="s">
        <v>22</v>
      </c>
      <c r="E82" s="88" t="s">
        <v>22</v>
      </c>
      <c r="F82" s="88" t="s">
        <v>22</v>
      </c>
      <c r="G82" s="88">
        <v>0</v>
      </c>
      <c r="H82" s="72">
        <v>49903</v>
      </c>
      <c r="I82" s="122">
        <f>51716+0</f>
        <v>51716</v>
      </c>
      <c r="J82" s="122">
        <v>50780</v>
      </c>
      <c r="K82" s="126">
        <v>0</v>
      </c>
      <c r="L82" s="126">
        <v>0</v>
      </c>
      <c r="M82" s="126">
        <v>0</v>
      </c>
      <c r="N82" s="126">
        <v>0</v>
      </c>
      <c r="O82" s="126">
        <v>0</v>
      </c>
      <c r="P82" s="123">
        <v>0</v>
      </c>
      <c r="Q82" s="123">
        <v>0</v>
      </c>
      <c r="R82" s="123">
        <f>0+0</f>
        <v>0</v>
      </c>
      <c r="S82" s="24">
        <f>51716+0</f>
        <v>51716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  <c r="EO82" s="70"/>
      <c r="EP82" s="70"/>
      <c r="EQ82" s="70"/>
      <c r="ER82" s="70"/>
    </row>
    <row r="83" spans="1:148" s="124" customFormat="1" ht="15" customHeight="1" x14ac:dyDescent="0.15">
      <c r="A83" s="119"/>
      <c r="B83" s="125" t="s">
        <v>64</v>
      </c>
      <c r="C83" s="88" t="s">
        <v>22</v>
      </c>
      <c r="D83" s="88" t="s">
        <v>22</v>
      </c>
      <c r="E83" s="88" t="s">
        <v>22</v>
      </c>
      <c r="F83" s="88" t="s">
        <v>22</v>
      </c>
      <c r="G83" s="72">
        <v>85000</v>
      </c>
      <c r="H83" s="72">
        <f>83749+67649</f>
        <v>151398</v>
      </c>
      <c r="I83" s="122">
        <f>113965+32186</f>
        <v>146151</v>
      </c>
      <c r="J83" s="122">
        <f>97579+11746</f>
        <v>109325</v>
      </c>
      <c r="K83" s="122">
        <f>94678+33584</f>
        <v>128262</v>
      </c>
      <c r="L83" s="122">
        <f>104171+50303</f>
        <v>154474</v>
      </c>
      <c r="M83" s="122">
        <f>103939+61159</f>
        <v>165098</v>
      </c>
      <c r="N83" s="122">
        <f>98475+10565</f>
        <v>109040</v>
      </c>
      <c r="O83" s="122">
        <f>91889+23265</f>
        <v>115154</v>
      </c>
      <c r="P83" s="123">
        <v>135737</v>
      </c>
      <c r="Q83" s="123">
        <f>76681+44979</f>
        <v>121660</v>
      </c>
      <c r="R83" s="123">
        <f>76803+0</f>
        <v>76803</v>
      </c>
      <c r="S83" s="24">
        <f>113965+32186</f>
        <v>146151</v>
      </c>
      <c r="T83" s="32">
        <f>103939+61159</f>
        <v>165098</v>
      </c>
      <c r="U83" s="32">
        <f>76681+44979</f>
        <v>121660</v>
      </c>
      <c r="V83" s="32">
        <f>18854+124397</f>
        <v>143251</v>
      </c>
      <c r="W83" s="32">
        <f>78278+119619</f>
        <v>197897</v>
      </c>
      <c r="X83" s="32">
        <v>152143</v>
      </c>
      <c r="Y83" s="32">
        <v>346882</v>
      </c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70"/>
      <c r="EN83" s="70"/>
      <c r="EO83" s="70"/>
      <c r="EP83" s="70"/>
      <c r="EQ83" s="70"/>
      <c r="ER83" s="70"/>
    </row>
    <row r="84" spans="1:148" s="124" customFormat="1" ht="15" customHeight="1" x14ac:dyDescent="0.15">
      <c r="A84" s="119"/>
      <c r="B84" s="125" t="s">
        <v>81</v>
      </c>
      <c r="C84" s="88" t="s">
        <v>22</v>
      </c>
      <c r="D84" s="88" t="s">
        <v>22</v>
      </c>
      <c r="E84" s="88" t="s">
        <v>22</v>
      </c>
      <c r="F84" s="88" t="s">
        <v>22</v>
      </c>
      <c r="G84" s="72">
        <f>1618297+548420</f>
        <v>2166717</v>
      </c>
      <c r="H84" s="72">
        <f>1246745+600509</f>
        <v>1847254</v>
      </c>
      <c r="I84" s="70" t="s">
        <v>22</v>
      </c>
      <c r="J84" s="122">
        <f>627448+516083</f>
        <v>1143531</v>
      </c>
      <c r="K84" s="122">
        <f>713115+535850+0</f>
        <v>1248965</v>
      </c>
      <c r="L84" s="122">
        <f>683340+562333</f>
        <v>1245673</v>
      </c>
      <c r="M84" s="122">
        <f>771017+939716</f>
        <v>1710733</v>
      </c>
      <c r="N84" s="122">
        <f>290604+1320651</f>
        <v>1611255</v>
      </c>
      <c r="O84" s="121">
        <f>289874+1683451</f>
        <v>1973325</v>
      </c>
      <c r="P84" s="121">
        <v>4279400</v>
      </c>
      <c r="Q84" s="121">
        <f>2910127+2761254</f>
        <v>5671381</v>
      </c>
      <c r="R84" s="121">
        <v>5919216</v>
      </c>
      <c r="S84" s="127" t="s">
        <v>22</v>
      </c>
      <c r="T84" s="24">
        <f>771017+939716</f>
        <v>1710733</v>
      </c>
      <c r="U84" s="32">
        <f>2910127+2761254</f>
        <v>5671381</v>
      </c>
      <c r="V84" s="32">
        <f>2527279+2498627</f>
        <v>5025906</v>
      </c>
      <c r="W84" s="32">
        <f>2410104+1923819</f>
        <v>4333923</v>
      </c>
      <c r="X84" s="32">
        <v>3778284</v>
      </c>
      <c r="Y84" s="32">
        <v>1197757</v>
      </c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</row>
    <row r="85" spans="1:148" s="124" customFormat="1" ht="15" customHeight="1" x14ac:dyDescent="0.15">
      <c r="A85" s="119"/>
      <c r="B85" s="125" t="s">
        <v>84</v>
      </c>
      <c r="C85" s="88" t="s">
        <v>22</v>
      </c>
      <c r="D85" s="88" t="s">
        <v>22</v>
      </c>
      <c r="E85" s="88" t="s">
        <v>22</v>
      </c>
      <c r="F85" s="88" t="s">
        <v>22</v>
      </c>
      <c r="G85" s="72">
        <f>117192+1191742</f>
        <v>1308934</v>
      </c>
      <c r="H85" s="72">
        <f>147953+1103271</f>
        <v>1251224</v>
      </c>
      <c r="I85" s="70" t="s">
        <v>22</v>
      </c>
      <c r="J85" s="122">
        <f>205842+1113431</f>
        <v>1319273</v>
      </c>
      <c r="K85" s="122">
        <f>171708+1084780</f>
        <v>1256488</v>
      </c>
      <c r="L85" s="122">
        <f>164266+1084506</f>
        <v>1248772</v>
      </c>
      <c r="M85" s="122">
        <f>160353+1212424</f>
        <v>1372777</v>
      </c>
      <c r="N85" s="122">
        <f>549768+1448342</f>
        <v>1998110</v>
      </c>
      <c r="O85" s="121">
        <f>562935+1549781</f>
        <v>2112716</v>
      </c>
      <c r="P85" s="121">
        <v>2121655</v>
      </c>
      <c r="Q85" s="121">
        <f>509546+1810129</f>
        <v>2319675</v>
      </c>
      <c r="R85" s="121">
        <v>2306152</v>
      </c>
      <c r="S85" s="127" t="s">
        <v>22</v>
      </c>
      <c r="T85" s="24">
        <f>160353+1212424</f>
        <v>1372777</v>
      </c>
      <c r="U85" s="32">
        <f>509546+1810129</f>
        <v>2319675</v>
      </c>
      <c r="V85" s="32">
        <f>1641570+519740</f>
        <v>2161310</v>
      </c>
      <c r="W85" s="32">
        <f>1597985+375228</f>
        <v>1973213</v>
      </c>
      <c r="X85" s="32">
        <v>1059178</v>
      </c>
      <c r="Y85" s="32">
        <v>478405</v>
      </c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</row>
    <row r="86" spans="1:148" ht="15" customHeight="1" x14ac:dyDescent="0.15">
      <c r="A86" s="48"/>
      <c r="B86" s="94"/>
      <c r="C86" s="95"/>
      <c r="D86" s="95"/>
      <c r="E86" s="95"/>
      <c r="F86" s="49"/>
      <c r="G86" s="49"/>
      <c r="H86" s="49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8"/>
      <c r="T86" s="8"/>
      <c r="U86" s="8"/>
      <c r="V86" s="8"/>
      <c r="W86" s="8"/>
      <c r="X86" s="8"/>
      <c r="Y86" s="8"/>
    </row>
    <row r="87" spans="1:148" ht="15" customHeight="1" x14ac:dyDescent="0.15">
      <c r="A87" s="84">
        <v>5</v>
      </c>
      <c r="B87" s="86" t="s">
        <v>40</v>
      </c>
      <c r="C87" s="69">
        <f>114091+28099</f>
        <v>142190</v>
      </c>
      <c r="D87" s="69">
        <f>232779+42692</f>
        <v>275471</v>
      </c>
      <c r="E87" s="69">
        <f>243663+30812</f>
        <v>274475</v>
      </c>
      <c r="F87" s="69">
        <f>239668+32603</f>
        <v>272271</v>
      </c>
      <c r="G87" s="64">
        <f>263624+30140</f>
        <v>293764</v>
      </c>
      <c r="H87" s="64">
        <f>252496+27968</f>
        <v>280464</v>
      </c>
      <c r="I87" s="66">
        <f>274641+26193</f>
        <v>300834</v>
      </c>
      <c r="J87" s="66">
        <f>244788+26753</f>
        <v>271541</v>
      </c>
      <c r="K87" s="66">
        <f>230351+27152</f>
        <v>257503</v>
      </c>
      <c r="L87" s="66">
        <f>234170+8248</f>
        <v>242418</v>
      </c>
      <c r="M87" s="66">
        <f>243414+8107</f>
        <v>251521</v>
      </c>
      <c r="N87" s="66">
        <f>242536+7445</f>
        <v>249981</v>
      </c>
      <c r="O87" s="66">
        <f>236728+4775</f>
        <v>241503</v>
      </c>
      <c r="P87" s="66">
        <v>240135</v>
      </c>
      <c r="Q87" s="66">
        <f>232777+3957</f>
        <v>236734</v>
      </c>
      <c r="R87" s="66">
        <f>240846+5738</f>
        <v>246584</v>
      </c>
      <c r="S87" s="8">
        <f>274641+26193</f>
        <v>300834</v>
      </c>
      <c r="T87" s="19">
        <f>243414+8107</f>
        <v>251521</v>
      </c>
      <c r="U87" s="19">
        <f>232777+3957</f>
        <v>236734</v>
      </c>
      <c r="V87" s="19">
        <f>12009+241867</f>
        <v>253876</v>
      </c>
      <c r="W87" s="19">
        <f>15838+233073</f>
        <v>248911</v>
      </c>
      <c r="X87" s="19">
        <v>259517</v>
      </c>
      <c r="Y87" s="19">
        <v>252944</v>
      </c>
    </row>
    <row r="88" spans="1:148" ht="15" customHeight="1" x14ac:dyDescent="0.15">
      <c r="A88" s="84">
        <v>6</v>
      </c>
      <c r="B88" s="86" t="s">
        <v>80</v>
      </c>
      <c r="C88" s="69">
        <f>323484+428428</f>
        <v>751912</v>
      </c>
      <c r="D88" s="69">
        <f>117959+2578378</f>
        <v>2696337</v>
      </c>
      <c r="E88" s="69">
        <f>97404+752244</f>
        <v>849648</v>
      </c>
      <c r="F88" s="69">
        <f>74977+990920</f>
        <v>1065897</v>
      </c>
      <c r="G88" s="64">
        <f>106656+355439</f>
        <v>462095</v>
      </c>
      <c r="H88" s="64">
        <f>148204+333470</f>
        <v>481674</v>
      </c>
      <c r="I88" s="66">
        <f>88582+265858</f>
        <v>354440</v>
      </c>
      <c r="J88" s="66">
        <f>151203+160244</f>
        <v>311447</v>
      </c>
      <c r="K88" s="66">
        <f>279337+195459</f>
        <v>474796</v>
      </c>
      <c r="L88" s="66">
        <f>234570+414092</f>
        <v>648662</v>
      </c>
      <c r="M88" s="66">
        <f>220392+349883</f>
        <v>570275</v>
      </c>
      <c r="N88" s="66">
        <f>289033+316197</f>
        <v>605230</v>
      </c>
      <c r="O88" s="66">
        <f>241237+265345</f>
        <v>506582</v>
      </c>
      <c r="P88" s="66">
        <v>464001</v>
      </c>
      <c r="Q88" s="66">
        <f>102997+225004</f>
        <v>328001</v>
      </c>
      <c r="R88" s="66">
        <f>148481+279219</f>
        <v>427700</v>
      </c>
      <c r="S88" s="8">
        <f>88582+265858</f>
        <v>354440</v>
      </c>
      <c r="T88" s="19">
        <f>220392+349883</f>
        <v>570275</v>
      </c>
      <c r="U88" s="19">
        <f>102997+225004</f>
        <v>328001</v>
      </c>
      <c r="V88" s="19">
        <f>140334+154586</f>
        <v>294920</v>
      </c>
      <c r="W88" s="19">
        <f>136716+146639</f>
        <v>283355</v>
      </c>
      <c r="X88" s="19">
        <v>287223</v>
      </c>
      <c r="Y88" s="19">
        <v>323456</v>
      </c>
    </row>
    <row r="89" spans="1:148" ht="15" customHeight="1" x14ac:dyDescent="0.15">
      <c r="A89" s="84">
        <v>7</v>
      </c>
      <c r="B89" s="86" t="s">
        <v>0</v>
      </c>
      <c r="C89" s="128">
        <f t="shared" ref="C89:R89" si="16">C7+C8+C21+C40+C55+C87+C88</f>
        <v>206484718</v>
      </c>
      <c r="D89" s="128">
        <f t="shared" si="16"/>
        <v>245435299</v>
      </c>
      <c r="E89" s="128">
        <f t="shared" si="16"/>
        <v>247668977</v>
      </c>
      <c r="F89" s="128">
        <f t="shared" si="16"/>
        <v>259752837</v>
      </c>
      <c r="G89" s="64">
        <f t="shared" si="16"/>
        <v>20806612</v>
      </c>
      <c r="H89" s="64">
        <f t="shared" si="16"/>
        <v>20916406</v>
      </c>
      <c r="I89" s="85">
        <f t="shared" si="16"/>
        <v>19264769</v>
      </c>
      <c r="J89" s="85">
        <f t="shared" si="16"/>
        <v>19206120</v>
      </c>
      <c r="K89" s="85">
        <f t="shared" si="16"/>
        <v>18906237</v>
      </c>
      <c r="L89" s="85">
        <f t="shared" si="16"/>
        <v>18210285</v>
      </c>
      <c r="M89" s="85">
        <f t="shared" si="16"/>
        <v>18668839</v>
      </c>
      <c r="N89" s="85">
        <f t="shared" si="16"/>
        <v>18889131</v>
      </c>
      <c r="O89" s="85">
        <f t="shared" si="16"/>
        <v>19978776</v>
      </c>
      <c r="P89" s="85">
        <f t="shared" si="16"/>
        <v>20739936</v>
      </c>
      <c r="Q89" s="85">
        <f t="shared" si="16"/>
        <v>23170350</v>
      </c>
      <c r="R89" s="85">
        <f t="shared" si="16"/>
        <v>23372411</v>
      </c>
      <c r="S89" s="19">
        <f>S7+S8+S21+S40+S55+S87+S88</f>
        <v>19264769</v>
      </c>
      <c r="T89" s="19">
        <f>T7+T8+T21+T40+T55+T87+T88</f>
        <v>18668839</v>
      </c>
      <c r="U89" s="19">
        <f>U7+U8+U21+U40+U55+U87+U88</f>
        <v>23170350</v>
      </c>
      <c r="V89" s="19">
        <f>V7+V8+V21+V40+V55+V87+V88</f>
        <v>22776523</v>
      </c>
      <c r="W89" s="19">
        <f>W7+W8+W21+W40+W55+W87+W88</f>
        <v>23760942</v>
      </c>
      <c r="X89" s="19">
        <v>21632426</v>
      </c>
      <c r="Y89" s="19">
        <v>20180987</v>
      </c>
    </row>
    <row r="90" spans="1:148" ht="15" customHeight="1" x14ac:dyDescent="0.15">
      <c r="A90" s="84"/>
      <c r="B90" s="86"/>
      <c r="C90" s="129"/>
      <c r="D90" s="129"/>
      <c r="E90" s="129"/>
      <c r="F90" s="129"/>
      <c r="G90" s="130"/>
      <c r="H90" s="130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11"/>
      <c r="U90" s="11"/>
      <c r="V90" s="11"/>
      <c r="W90" s="11"/>
      <c r="X90" s="11"/>
      <c r="Y90" s="11"/>
    </row>
    <row r="91" spans="1:148" ht="15.95" customHeight="1" thickBot="1" x14ac:dyDescent="0.2">
      <c r="A91" s="48"/>
      <c r="B91" s="50"/>
      <c r="C91" s="49"/>
      <c r="D91" s="49"/>
      <c r="E91" s="49"/>
      <c r="F91" s="49"/>
      <c r="G91" s="130"/>
      <c r="H91" s="49"/>
      <c r="I91" s="49"/>
      <c r="J91" s="49"/>
      <c r="K91" s="49"/>
      <c r="L91" s="49"/>
      <c r="M91" s="49"/>
      <c r="N91" s="73"/>
      <c r="O91" s="73"/>
      <c r="P91" s="73"/>
      <c r="Q91" s="73"/>
      <c r="R91" s="73"/>
      <c r="S91" s="48"/>
    </row>
    <row r="92" spans="1:148" ht="15.95" customHeight="1" thickBot="1" x14ac:dyDescent="0.25">
      <c r="B92" s="160" t="s">
        <v>42</v>
      </c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31"/>
      <c r="N92" s="131"/>
      <c r="O92" s="131"/>
      <c r="P92" s="131"/>
      <c r="Q92" s="131"/>
      <c r="R92" s="131"/>
      <c r="S92" s="148"/>
      <c r="T92" s="148"/>
      <c r="U92" s="148"/>
      <c r="V92" s="148"/>
      <c r="W92" s="148"/>
      <c r="X92" s="148"/>
      <c r="Y92" s="132"/>
    </row>
    <row r="93" spans="1:148" ht="11.25" x14ac:dyDescent="0.15">
      <c r="A93" s="48"/>
      <c r="B93" s="50"/>
      <c r="C93" s="49"/>
      <c r="D93" s="49"/>
      <c r="E93" s="49"/>
      <c r="F93" s="49"/>
      <c r="G93" s="49"/>
      <c r="H93" s="49"/>
      <c r="U93" s="50"/>
      <c r="V93" s="3"/>
      <c r="W93" s="3"/>
      <c r="X93" s="3"/>
      <c r="Y93" s="3"/>
    </row>
    <row r="94" spans="1:148" ht="18.95" customHeight="1" x14ac:dyDescent="0.2">
      <c r="B94" s="42" t="s">
        <v>23</v>
      </c>
      <c r="C94" s="155">
        <v>2007</v>
      </c>
      <c r="D94" s="155">
        <v>2008</v>
      </c>
      <c r="E94" s="155">
        <v>2009</v>
      </c>
      <c r="F94" s="155">
        <v>2010</v>
      </c>
      <c r="G94" s="155">
        <v>2011</v>
      </c>
      <c r="H94" s="155">
        <v>2012</v>
      </c>
      <c r="I94" s="156">
        <v>2013</v>
      </c>
      <c r="J94" s="156" t="s">
        <v>63</v>
      </c>
      <c r="K94" s="156" t="s">
        <v>66</v>
      </c>
      <c r="L94" s="156" t="s">
        <v>67</v>
      </c>
      <c r="M94" s="156" t="s">
        <v>68</v>
      </c>
      <c r="N94" s="156" t="s">
        <v>71</v>
      </c>
      <c r="O94" s="156" t="s">
        <v>73</v>
      </c>
      <c r="P94" s="156" t="s">
        <v>74</v>
      </c>
      <c r="Q94" s="156" t="s">
        <v>75</v>
      </c>
      <c r="R94" s="156" t="s">
        <v>78</v>
      </c>
      <c r="S94" s="155">
        <v>2013</v>
      </c>
      <c r="T94" s="155">
        <v>2014</v>
      </c>
      <c r="U94" s="155">
        <v>2015</v>
      </c>
      <c r="V94" s="155">
        <v>2016</v>
      </c>
      <c r="W94" s="155">
        <v>2017</v>
      </c>
      <c r="X94" s="155">
        <v>2018</v>
      </c>
      <c r="Y94" s="157">
        <v>2019</v>
      </c>
    </row>
    <row r="95" spans="1:148" ht="15.95" customHeight="1" x14ac:dyDescent="0.15">
      <c r="A95" s="48"/>
      <c r="B95" s="62" t="s">
        <v>1</v>
      </c>
      <c r="C95" s="63">
        <f>6399445+7427218</f>
        <v>13826663</v>
      </c>
      <c r="D95" s="63">
        <f>6581503+5728004</f>
        <v>12309507</v>
      </c>
      <c r="E95" s="63">
        <f>7034915+10367833</f>
        <v>17402748</v>
      </c>
      <c r="F95" s="63">
        <f>6266617+10018704</f>
        <v>16285321</v>
      </c>
      <c r="G95" s="64">
        <f>5595800+5777504</f>
        <v>11373304</v>
      </c>
      <c r="H95" s="65">
        <f>6194111+5461981</f>
        <v>11656092</v>
      </c>
      <c r="I95" s="66">
        <f>7151371+4123561-160193-40511</f>
        <v>11074228</v>
      </c>
      <c r="J95" s="66">
        <f>6849041+4801208-178014</f>
        <v>11472235</v>
      </c>
      <c r="K95" s="66">
        <f>6487832+4768567-167590-758</f>
        <v>11088051</v>
      </c>
      <c r="L95" s="66">
        <f>6234373+3968068-173400</f>
        <v>10029041</v>
      </c>
      <c r="M95" s="66">
        <f>5988147+4370217-183876</f>
        <v>10174488</v>
      </c>
      <c r="N95" s="66">
        <f>4173807+5772848</f>
        <v>9946655</v>
      </c>
      <c r="O95" s="66">
        <f>5905826+4864417</f>
        <v>10770243</v>
      </c>
      <c r="P95" s="66">
        <v>10360660</v>
      </c>
      <c r="Q95" s="66">
        <f>6948303+3527647</f>
        <v>10475950</v>
      </c>
      <c r="R95" s="66">
        <f>7216345+3659455</f>
        <v>10875800</v>
      </c>
      <c r="S95" s="8">
        <f>7151371+4123561-160193-40511</f>
        <v>11074228</v>
      </c>
      <c r="T95" s="19">
        <f>5988147+4370217-183876</f>
        <v>10174488</v>
      </c>
      <c r="U95" s="19">
        <f>6948303+3527647</f>
        <v>10475950</v>
      </c>
      <c r="V95" s="19">
        <f>3277736+7247580</f>
        <v>10525316</v>
      </c>
      <c r="W95" s="19">
        <f>3347375+8599574</f>
        <v>11946949</v>
      </c>
      <c r="X95" s="19">
        <v>11365391</v>
      </c>
      <c r="Y95" s="19">
        <v>11925561</v>
      </c>
    </row>
    <row r="96" spans="1:148" ht="15.95" customHeight="1" x14ac:dyDescent="0.15">
      <c r="A96" s="48"/>
      <c r="B96" s="67" t="s">
        <v>2</v>
      </c>
      <c r="C96" s="65">
        <f>3521354+216926904</f>
        <v>220448258</v>
      </c>
      <c r="D96" s="65">
        <f>4479287+260316134</f>
        <v>264795421</v>
      </c>
      <c r="E96" s="65">
        <f>3213162+261723569</f>
        <v>264936731</v>
      </c>
      <c r="F96" s="65">
        <f>3691460+274335747</f>
        <v>278027207</v>
      </c>
      <c r="G96" s="64">
        <f>4296286+1862212</f>
        <v>6158498</v>
      </c>
      <c r="H96" s="65">
        <f>4301744+1848067</f>
        <v>6149811</v>
      </c>
      <c r="I96" s="66">
        <f>3378744+1817471</f>
        <v>5196215</v>
      </c>
      <c r="J96" s="66">
        <f>3173627+1884864</f>
        <v>5058491</v>
      </c>
      <c r="K96" s="66">
        <f>3152021+1771890</f>
        <v>4923911</v>
      </c>
      <c r="L96" s="66">
        <f>3154313+1911190</f>
        <v>5065503</v>
      </c>
      <c r="M96" s="66">
        <f>3368112+2130629</f>
        <v>5498741</v>
      </c>
      <c r="N96" s="66">
        <f>1955180+3488010</f>
        <v>5443190</v>
      </c>
      <c r="O96" s="66">
        <f>3356784+1734309</f>
        <v>5091093</v>
      </c>
      <c r="P96" s="66">
        <v>6863314</v>
      </c>
      <c r="Q96" s="66">
        <f>5458867+2741871</f>
        <v>8200738</v>
      </c>
      <c r="R96" s="66">
        <f>5155596+2678538</f>
        <v>7834134</v>
      </c>
      <c r="S96" s="8">
        <f>3378744+1817471</f>
        <v>5196215</v>
      </c>
      <c r="T96" s="19">
        <f>3368112+2130629</f>
        <v>5498741</v>
      </c>
      <c r="U96" s="19">
        <f>5458867+2741871</f>
        <v>8200738</v>
      </c>
      <c r="V96" s="19">
        <f>2494882+5187266</f>
        <v>7682148</v>
      </c>
      <c r="W96" s="19">
        <f>2529605+4503283</f>
        <v>7032888</v>
      </c>
      <c r="X96" s="19">
        <v>6032548</v>
      </c>
      <c r="Y96" s="19">
        <v>5302180</v>
      </c>
    </row>
    <row r="97" spans="1:148" ht="15.95" customHeight="1" x14ac:dyDescent="0.15">
      <c r="A97" s="48"/>
      <c r="B97" s="133" t="s">
        <v>11</v>
      </c>
      <c r="C97" s="69">
        <f>C95+C96</f>
        <v>234274921</v>
      </c>
      <c r="D97" s="69">
        <f t="shared" ref="D97:M97" si="17">D95+D96</f>
        <v>277104928</v>
      </c>
      <c r="E97" s="69">
        <f t="shared" si="17"/>
        <v>282339479</v>
      </c>
      <c r="F97" s="69">
        <f t="shared" si="17"/>
        <v>294312528</v>
      </c>
      <c r="G97" s="64">
        <f t="shared" si="17"/>
        <v>17531802</v>
      </c>
      <c r="H97" s="64">
        <f t="shared" si="17"/>
        <v>17805903</v>
      </c>
      <c r="I97" s="66">
        <f t="shared" si="17"/>
        <v>16270443</v>
      </c>
      <c r="J97" s="66">
        <f t="shared" si="17"/>
        <v>16530726</v>
      </c>
      <c r="K97" s="66">
        <f t="shared" si="17"/>
        <v>16011962</v>
      </c>
      <c r="L97" s="66">
        <f t="shared" si="17"/>
        <v>15094544</v>
      </c>
      <c r="M97" s="66">
        <f t="shared" si="17"/>
        <v>15673229</v>
      </c>
      <c r="N97" s="66">
        <f>N95+N96</f>
        <v>15389845</v>
      </c>
      <c r="O97" s="66">
        <f>9262610+6598726</f>
        <v>15861336</v>
      </c>
      <c r="P97" s="66">
        <v>17223974</v>
      </c>
      <c r="Q97" s="66">
        <f>12407170+6269518</f>
        <v>18676688</v>
      </c>
      <c r="R97" s="66">
        <f>12371941+6337993</f>
        <v>18709934</v>
      </c>
      <c r="S97" s="19">
        <f>S95+S96</f>
        <v>16270443</v>
      </c>
      <c r="T97" s="19">
        <f>T95+T96</f>
        <v>15673229</v>
      </c>
      <c r="U97" s="19">
        <f>12407170+6269518</f>
        <v>18676688</v>
      </c>
      <c r="V97" s="19">
        <f t="shared" ref="V97" si="18">+V96+V95</f>
        <v>18207464</v>
      </c>
      <c r="W97" s="19">
        <f>5876980+13102857</f>
        <v>18979837</v>
      </c>
      <c r="X97" s="19">
        <v>17397939</v>
      </c>
      <c r="Y97" s="19">
        <v>17227741</v>
      </c>
    </row>
    <row r="98" spans="1:148" ht="15" customHeight="1" x14ac:dyDescent="0.15">
      <c r="A98" s="48"/>
      <c r="B98" s="28"/>
      <c r="C98" s="90"/>
      <c r="D98" s="90"/>
      <c r="E98" s="90"/>
      <c r="F98" s="90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8"/>
      <c r="T98" s="8"/>
      <c r="U98" s="8"/>
      <c r="V98" s="8"/>
      <c r="W98" s="8"/>
      <c r="X98" s="8"/>
      <c r="Y98" s="8"/>
    </row>
    <row r="99" spans="1:148" ht="15" customHeight="1" x14ac:dyDescent="0.15">
      <c r="A99" s="48">
        <v>8</v>
      </c>
      <c r="B99" s="133" t="s">
        <v>8</v>
      </c>
      <c r="C99" s="65">
        <f>934619+38121</f>
        <v>972740</v>
      </c>
      <c r="D99" s="65">
        <f>931406+53704</f>
        <v>985110</v>
      </c>
      <c r="E99" s="65">
        <f>949528+384856</f>
        <v>1334384</v>
      </c>
      <c r="F99" s="65">
        <f>1110588+1608408</f>
        <v>2718996</v>
      </c>
      <c r="G99" s="69">
        <f>1057923+1841905</f>
        <v>2899828</v>
      </c>
      <c r="H99" s="65">
        <f>1237588+1641017</f>
        <v>2878605</v>
      </c>
      <c r="I99" s="73">
        <f>1637710+1301854-160193-40511</f>
        <v>2738860</v>
      </c>
      <c r="J99" s="73">
        <f>1906381+1303228-178014</f>
        <v>3031595</v>
      </c>
      <c r="K99" s="73">
        <f>1791148+1345221-167590-758</f>
        <v>2968021</v>
      </c>
      <c r="L99" s="75">
        <f>1775350+1392971-173400</f>
        <v>2994921</v>
      </c>
      <c r="M99" s="75">
        <f>1964819+1224733-183876</f>
        <v>3005676</v>
      </c>
      <c r="N99" s="75">
        <f>1169897+1696332</f>
        <v>2866229</v>
      </c>
      <c r="O99" s="75">
        <f>1747725+878289</f>
        <v>2626014</v>
      </c>
      <c r="P99" s="73">
        <v>2973917</v>
      </c>
      <c r="Q99" s="73">
        <f>2406190+1074126</f>
        <v>3480316</v>
      </c>
      <c r="R99" s="73">
        <f>2539148+1094400</f>
        <v>3633548</v>
      </c>
      <c r="S99" s="8">
        <f>1637710+1301854-160193-40511</f>
        <v>2738860</v>
      </c>
      <c r="T99" s="19">
        <f>1964819+1224733-183876</f>
        <v>3005676</v>
      </c>
      <c r="U99" s="19">
        <f>2406190+1074126</f>
        <v>3480316</v>
      </c>
      <c r="V99" s="19">
        <f t="shared" ref="V99" si="19">SUM(V100:V107)</f>
        <v>3578329</v>
      </c>
      <c r="W99" s="19">
        <f t="shared" ref="W99" si="20">SUM(W100:W107)</f>
        <v>3459813</v>
      </c>
      <c r="X99" s="19">
        <v>3159159</v>
      </c>
      <c r="Y99" s="19">
        <v>3392398</v>
      </c>
    </row>
    <row r="100" spans="1:148" ht="15" customHeight="1" x14ac:dyDescent="0.15">
      <c r="A100" s="48"/>
      <c r="B100" s="28" t="s">
        <v>3</v>
      </c>
      <c r="C100" s="72">
        <v>6226</v>
      </c>
      <c r="D100" s="72">
        <v>15628</v>
      </c>
      <c r="E100" s="72">
        <v>26886</v>
      </c>
      <c r="F100" s="72">
        <v>27443</v>
      </c>
      <c r="G100" s="71">
        <v>-8560</v>
      </c>
      <c r="H100" s="72">
        <v>-67425</v>
      </c>
      <c r="I100" s="75">
        <f>198075-160193-40511</f>
        <v>-2629</v>
      </c>
      <c r="J100" s="75">
        <f>238260-178014</f>
        <v>60246</v>
      </c>
      <c r="K100" s="75">
        <f>208101-167590-758</f>
        <v>39753</v>
      </c>
      <c r="L100" s="75">
        <f>210260-173400</f>
        <v>36860</v>
      </c>
      <c r="M100" s="75">
        <f>250398-183876</f>
        <v>66522</v>
      </c>
      <c r="N100" s="75">
        <v>52556</v>
      </c>
      <c r="O100" s="75">
        <v>38052</v>
      </c>
      <c r="P100" s="75">
        <v>45520</v>
      </c>
      <c r="Q100" s="75">
        <v>73014</v>
      </c>
      <c r="R100" s="76">
        <v>52815</v>
      </c>
      <c r="S100" s="24">
        <f>198075-160193-40511</f>
        <v>-2629</v>
      </c>
      <c r="T100" s="32">
        <f>250398-183876</f>
        <v>66522</v>
      </c>
      <c r="U100" s="32">
        <v>73014</v>
      </c>
      <c r="V100" s="32">
        <v>51662</v>
      </c>
      <c r="W100" s="32">
        <v>93191</v>
      </c>
      <c r="X100" s="32">
        <v>101811</v>
      </c>
      <c r="Y100" s="32">
        <v>90306</v>
      </c>
    </row>
    <row r="101" spans="1:148" ht="15" customHeight="1" x14ac:dyDescent="0.15">
      <c r="A101" s="48"/>
      <c r="B101" s="77" t="s">
        <v>21</v>
      </c>
      <c r="C101" s="72">
        <v>5737</v>
      </c>
      <c r="D101" s="72">
        <v>4948</v>
      </c>
      <c r="E101" s="72">
        <v>12815</v>
      </c>
      <c r="F101" s="72">
        <v>15989</v>
      </c>
      <c r="G101" s="71">
        <v>25570</v>
      </c>
      <c r="H101" s="72">
        <v>30799</v>
      </c>
      <c r="I101" s="75">
        <f>54320</f>
        <v>54320</v>
      </c>
      <c r="J101" s="75">
        <v>72410</v>
      </c>
      <c r="K101" s="75">
        <v>91947</v>
      </c>
      <c r="L101" s="75">
        <v>68463</v>
      </c>
      <c r="M101" s="75">
        <v>63194</v>
      </c>
      <c r="N101" s="75">
        <v>83738</v>
      </c>
      <c r="O101" s="75">
        <v>92459</v>
      </c>
      <c r="P101" s="79">
        <v>79957</v>
      </c>
      <c r="Q101" s="79">
        <v>72018</v>
      </c>
      <c r="R101" s="79">
        <v>76448</v>
      </c>
      <c r="S101" s="24">
        <f>54320</f>
        <v>54320</v>
      </c>
      <c r="T101" s="32">
        <v>63194</v>
      </c>
      <c r="U101" s="32">
        <v>72018</v>
      </c>
      <c r="V101" s="32">
        <v>95229</v>
      </c>
      <c r="W101" s="32">
        <v>98280</v>
      </c>
      <c r="X101" s="32">
        <v>94724</v>
      </c>
      <c r="Y101" s="32">
        <v>106081</v>
      </c>
    </row>
    <row r="102" spans="1:148" s="20" customFormat="1" ht="15" customHeight="1" x14ac:dyDescent="0.15">
      <c r="A102" s="84"/>
      <c r="B102" s="2" t="s">
        <v>19</v>
      </c>
      <c r="C102" s="134">
        <v>458800</v>
      </c>
      <c r="D102" s="134">
        <v>679240</v>
      </c>
      <c r="E102" s="134">
        <v>550098</v>
      </c>
      <c r="F102" s="134">
        <v>446317</v>
      </c>
      <c r="G102" s="134">
        <v>555262</v>
      </c>
      <c r="H102" s="134">
        <v>647629</v>
      </c>
      <c r="I102" s="66">
        <f>691567+106394</f>
        <v>797961</v>
      </c>
      <c r="J102" s="66">
        <f>739935+128621</f>
        <v>868556</v>
      </c>
      <c r="K102" s="66">
        <f>661745+156791</f>
        <v>818536</v>
      </c>
      <c r="L102" s="66">
        <f>685355+156207</f>
        <v>841562</v>
      </c>
      <c r="M102" s="66">
        <f>770537+204485</f>
        <v>975022</v>
      </c>
      <c r="N102" s="66">
        <v>687496</v>
      </c>
      <c r="O102" s="66">
        <v>648317</v>
      </c>
      <c r="P102" s="66">
        <v>668552</v>
      </c>
      <c r="Q102" s="66">
        <v>801190</v>
      </c>
      <c r="R102" s="66">
        <v>931659</v>
      </c>
      <c r="S102" s="24">
        <f>691567+106394</f>
        <v>797961</v>
      </c>
      <c r="T102" s="32">
        <f>770537+204485</f>
        <v>975022</v>
      </c>
      <c r="U102" s="32">
        <v>801190</v>
      </c>
      <c r="V102" s="32">
        <v>1011618</v>
      </c>
      <c r="W102" s="32">
        <v>1013911</v>
      </c>
      <c r="X102" s="32">
        <v>1114564</v>
      </c>
      <c r="Y102" s="32">
        <v>1318425</v>
      </c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</row>
    <row r="103" spans="1:148" ht="15" customHeight="1" x14ac:dyDescent="0.15">
      <c r="A103" s="48"/>
      <c r="B103" s="80" t="s">
        <v>12</v>
      </c>
      <c r="C103" s="71" t="s">
        <v>22</v>
      </c>
      <c r="D103" s="71" t="s">
        <v>22</v>
      </c>
      <c r="E103" s="71" t="s">
        <v>22</v>
      </c>
      <c r="F103" s="71">
        <v>6</v>
      </c>
      <c r="G103" s="72">
        <v>6</v>
      </c>
      <c r="H103" s="72">
        <v>5</v>
      </c>
      <c r="I103" s="73">
        <v>6</v>
      </c>
      <c r="J103" s="73">
        <v>6</v>
      </c>
      <c r="K103" s="73">
        <v>6</v>
      </c>
      <c r="L103" s="73">
        <v>6</v>
      </c>
      <c r="M103" s="73">
        <v>6</v>
      </c>
      <c r="N103" s="73">
        <v>6</v>
      </c>
      <c r="O103" s="73">
        <v>6</v>
      </c>
      <c r="P103" s="73">
        <v>-127</v>
      </c>
      <c r="Q103" s="73">
        <v>-183</v>
      </c>
      <c r="R103" s="73">
        <v>6</v>
      </c>
      <c r="S103" s="17">
        <v>6</v>
      </c>
      <c r="T103" s="32">
        <v>6</v>
      </c>
      <c r="U103" s="32">
        <v>-183</v>
      </c>
      <c r="V103" s="32">
        <v>6</v>
      </c>
      <c r="W103" s="32">
        <v>6</v>
      </c>
      <c r="X103" s="32">
        <v>6</v>
      </c>
      <c r="Y103" s="32">
        <v>6</v>
      </c>
    </row>
    <row r="104" spans="1:148" ht="15" customHeight="1" x14ac:dyDescent="0.15">
      <c r="A104" s="48"/>
      <c r="B104" s="28" t="s">
        <v>25</v>
      </c>
      <c r="C104" s="72">
        <v>43337</v>
      </c>
      <c r="D104" s="72">
        <f>25094+12</f>
        <v>25106</v>
      </c>
      <c r="E104" s="72">
        <v>26097</v>
      </c>
      <c r="F104" s="72">
        <v>21874</v>
      </c>
      <c r="G104" s="71">
        <f>10857+4101</f>
        <v>14958</v>
      </c>
      <c r="H104" s="72">
        <f>36334+68</f>
        <v>36402</v>
      </c>
      <c r="I104" s="73">
        <f>51841+39</f>
        <v>51880</v>
      </c>
      <c r="J104" s="73">
        <f>51531+174</f>
        <v>51705</v>
      </c>
      <c r="K104" s="73">
        <f>57945+4+5149</f>
        <v>63098</v>
      </c>
      <c r="L104" s="73">
        <f>64748+49</f>
        <v>64797</v>
      </c>
      <c r="M104" s="73">
        <f>40013+25423+14</f>
        <v>65450</v>
      </c>
      <c r="N104" s="73">
        <v>54702</v>
      </c>
      <c r="O104" s="73">
        <v>73542</v>
      </c>
      <c r="P104" s="73">
        <v>23468</v>
      </c>
      <c r="Q104" s="73">
        <v>11735</v>
      </c>
      <c r="R104" s="73">
        <f>11950+81</f>
        <v>12031</v>
      </c>
      <c r="S104" s="24">
        <f>51841+39</f>
        <v>51880</v>
      </c>
      <c r="T104" s="32">
        <f>40013+25423+14</f>
        <v>65450</v>
      </c>
      <c r="U104" s="32">
        <v>11735</v>
      </c>
      <c r="V104" s="32">
        <f>15470+7675</f>
        <v>23145</v>
      </c>
      <c r="W104" s="32">
        <f>19461+1531</f>
        <v>20992</v>
      </c>
      <c r="X104" s="32">
        <v>6937</v>
      </c>
      <c r="Y104" s="32">
        <v>30889</v>
      </c>
    </row>
    <row r="105" spans="1:148" ht="15" customHeight="1" x14ac:dyDescent="0.15">
      <c r="A105" s="48"/>
      <c r="B105" s="28" t="s">
        <v>46</v>
      </c>
      <c r="C105" s="72">
        <v>19</v>
      </c>
      <c r="D105" s="72">
        <v>0</v>
      </c>
      <c r="E105" s="72">
        <f>10339+4514</f>
        <v>14853</v>
      </c>
      <c r="F105" s="72">
        <f>6221+6023</f>
        <v>12244</v>
      </c>
      <c r="G105" s="71">
        <v>16049</v>
      </c>
      <c r="H105" s="72">
        <v>16141</v>
      </c>
      <c r="I105" s="75">
        <f>2069+1098</f>
        <v>3167</v>
      </c>
      <c r="J105" s="75">
        <f>7570+1701</f>
        <v>9271</v>
      </c>
      <c r="K105" s="75">
        <f>4410+763</f>
        <v>5173</v>
      </c>
      <c r="L105" s="75">
        <f>13935+2926</f>
        <v>16861</v>
      </c>
      <c r="M105" s="75">
        <f>3735+2559</f>
        <v>6294</v>
      </c>
      <c r="N105" s="75">
        <v>21446</v>
      </c>
      <c r="O105" s="75">
        <v>2842</v>
      </c>
      <c r="P105" s="75">
        <v>14059</v>
      </c>
      <c r="Q105" s="75">
        <v>8791</v>
      </c>
      <c r="R105" s="75">
        <v>6839</v>
      </c>
      <c r="S105" s="24">
        <f>2069+1098</f>
        <v>3167</v>
      </c>
      <c r="T105" s="32">
        <f>3735+2559</f>
        <v>6294</v>
      </c>
      <c r="U105" s="32">
        <v>8791</v>
      </c>
      <c r="V105" s="32">
        <v>7049</v>
      </c>
      <c r="W105" s="32">
        <f>148+16099</f>
        <v>16247</v>
      </c>
      <c r="X105" s="32">
        <v>9666</v>
      </c>
      <c r="Y105" s="32">
        <v>83179</v>
      </c>
    </row>
    <row r="106" spans="1:148" ht="15" customHeight="1" x14ac:dyDescent="0.15">
      <c r="A106" s="48"/>
      <c r="B106" s="28" t="s">
        <v>64</v>
      </c>
      <c r="C106" s="72">
        <f>138671+37708</f>
        <v>176379</v>
      </c>
      <c r="D106" s="72">
        <f>68237+45533</f>
        <v>113770</v>
      </c>
      <c r="E106" s="72">
        <f>153215+368255</f>
        <v>521470</v>
      </c>
      <c r="F106" s="72">
        <f>257507+1580077</f>
        <v>1837584</v>
      </c>
      <c r="G106" s="71">
        <f>16049+269629+1777957+180-16049</f>
        <v>2047766</v>
      </c>
      <c r="H106" s="72">
        <f>338283+1559005-16141</f>
        <v>1881147</v>
      </c>
      <c r="I106" s="75">
        <f>330247+1187024</f>
        <v>1517271</v>
      </c>
      <c r="J106" s="75">
        <f>430800+1154976</f>
        <v>1585776</v>
      </c>
      <c r="K106" s="75">
        <f>371538+1177401</f>
        <v>1548939</v>
      </c>
      <c r="L106" s="75">
        <f>336273+1223786</f>
        <v>1560059</v>
      </c>
      <c r="M106" s="75">
        <f>282563+1003623</f>
        <v>1286186</v>
      </c>
      <c r="N106" s="75">
        <f>314160+1159292</f>
        <v>1473452</v>
      </c>
      <c r="O106" s="75">
        <f>423328+868111</f>
        <v>1291439</v>
      </c>
      <c r="P106" s="75">
        <f>965652+722804</f>
        <v>1688456</v>
      </c>
      <c r="Q106" s="75">
        <f>928522+1064117</f>
        <v>1992639</v>
      </c>
      <c r="R106" s="75">
        <f>928913+1085388</f>
        <v>2014301</v>
      </c>
      <c r="S106" s="24">
        <f>330247+1187024</f>
        <v>1517271</v>
      </c>
      <c r="T106" s="32">
        <f>282563+1003623</f>
        <v>1286186</v>
      </c>
      <c r="U106" s="32">
        <f>928522+1064117</f>
        <v>1992639</v>
      </c>
      <c r="V106" s="32">
        <f>994064+890004</f>
        <v>1884068</v>
      </c>
      <c r="W106" s="32">
        <f>876313+762204</f>
        <v>1638517</v>
      </c>
      <c r="X106" s="32">
        <v>1364484</v>
      </c>
      <c r="Y106" s="32">
        <v>1324068</v>
      </c>
    </row>
    <row r="107" spans="1:148" ht="15" customHeight="1" x14ac:dyDescent="0.15">
      <c r="A107" s="48"/>
      <c r="B107" s="2" t="s">
        <v>88</v>
      </c>
      <c r="C107" s="72">
        <f>282099+143</f>
        <v>282242</v>
      </c>
      <c r="D107" s="72">
        <f>144670+1748</f>
        <v>146418</v>
      </c>
      <c r="E107" s="72">
        <f>180155+2010</f>
        <v>182165</v>
      </c>
      <c r="F107" s="72">
        <f>349880+7659</f>
        <v>357539</v>
      </c>
      <c r="G107" s="71">
        <f>237236+11541</f>
        <v>248777</v>
      </c>
      <c r="H107" s="72">
        <f>325522+8385</f>
        <v>333907</v>
      </c>
      <c r="I107" s="89">
        <f>309585+7299</f>
        <v>316884</v>
      </c>
      <c r="J107" s="89">
        <f>365869+17756</f>
        <v>383625</v>
      </c>
      <c r="K107" s="89">
        <f>390307+10262</f>
        <v>400569</v>
      </c>
      <c r="L107" s="89">
        <f>396310+10003</f>
        <v>406313</v>
      </c>
      <c r="M107" s="89">
        <f>528950+14052</f>
        <v>543002</v>
      </c>
      <c r="N107" s="89">
        <f>482228+10605</f>
        <v>492833</v>
      </c>
      <c r="O107" s="89">
        <f>469179+10178</f>
        <v>479357</v>
      </c>
      <c r="P107" s="89">
        <v>454032</v>
      </c>
      <c r="Q107" s="89">
        <f>511103+10009</f>
        <v>521112</v>
      </c>
      <c r="R107" s="89">
        <f>530437+9012</f>
        <v>539449</v>
      </c>
      <c r="S107" s="24">
        <f>309585+7299</f>
        <v>316884</v>
      </c>
      <c r="T107" s="32">
        <f>528950+14052</f>
        <v>543002</v>
      </c>
      <c r="U107" s="32">
        <f>511103+10009</f>
        <v>521112</v>
      </c>
      <c r="V107" s="32">
        <f>4895+500657</f>
        <v>505552</v>
      </c>
      <c r="W107" s="32">
        <f>3053+575616</f>
        <v>578669</v>
      </c>
      <c r="X107" s="32">
        <v>466967</v>
      </c>
      <c r="Y107" s="32">
        <v>439444</v>
      </c>
    </row>
    <row r="108" spans="1:148" ht="15" customHeight="1" x14ac:dyDescent="0.15">
      <c r="A108" s="48"/>
      <c r="B108" s="77"/>
      <c r="C108" s="66"/>
      <c r="D108" s="66"/>
      <c r="E108" s="66"/>
      <c r="F108" s="66"/>
      <c r="G108" s="130"/>
      <c r="H108" s="130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T108" s="3"/>
      <c r="V108" s="3"/>
      <c r="W108" s="3"/>
      <c r="X108" s="3"/>
      <c r="Y108" s="3"/>
    </row>
    <row r="109" spans="1:148" ht="15" customHeight="1" x14ac:dyDescent="0.15">
      <c r="A109" s="48">
        <v>9</v>
      </c>
      <c r="B109" s="133" t="s">
        <v>9</v>
      </c>
      <c r="C109" s="65">
        <f>1848042+5856141</f>
        <v>7704183</v>
      </c>
      <c r="D109" s="65">
        <f>2623012+4453770</f>
        <v>7076782</v>
      </c>
      <c r="E109" s="65">
        <f>2363696+6562612</f>
        <v>8926308</v>
      </c>
      <c r="F109" s="65">
        <f>2363042+4770856</f>
        <v>7133898</v>
      </c>
      <c r="G109" s="69">
        <f>2212752+3144881</f>
        <v>5357633</v>
      </c>
      <c r="H109" s="65">
        <f>2984629+3342725</f>
        <v>6327354</v>
      </c>
      <c r="I109" s="75">
        <f>3570274+2468076</f>
        <v>6038350</v>
      </c>
      <c r="J109" s="75">
        <f>2828892+3114358</f>
        <v>5943250</v>
      </c>
      <c r="K109" s="75">
        <f>2689785+3051184</f>
        <v>5740969</v>
      </c>
      <c r="L109" s="75">
        <f>2544685+2198046</f>
        <v>4742731</v>
      </c>
      <c r="M109" s="75">
        <f>2222876+2793525</f>
        <v>5016401</v>
      </c>
      <c r="N109" s="75">
        <f>2154693+2581113</f>
        <v>4735806</v>
      </c>
      <c r="O109" s="75">
        <f>2344575+3597837</f>
        <v>5942412</v>
      </c>
      <c r="P109" s="75">
        <v>4998414</v>
      </c>
      <c r="Q109" s="75">
        <f>2476899+2040876</f>
        <v>4517775</v>
      </c>
      <c r="R109" s="75">
        <f>2639986+2130416</f>
        <v>4770402</v>
      </c>
      <c r="S109" s="8">
        <f>3570274+2468076</f>
        <v>6038350</v>
      </c>
      <c r="T109" s="19">
        <f>2222876+2793525</f>
        <v>5016401</v>
      </c>
      <c r="U109" s="19">
        <f>2476899+2040876</f>
        <v>4517775</v>
      </c>
      <c r="V109" s="19">
        <f>SUM(V110:V117)</f>
        <v>4551497</v>
      </c>
      <c r="W109" s="19">
        <f t="shared" ref="W109" si="21">SUM(W110:W117)</f>
        <v>5296851</v>
      </c>
      <c r="X109" s="19">
        <v>5319799</v>
      </c>
      <c r="Y109" s="19">
        <v>5795925</v>
      </c>
    </row>
    <row r="110" spans="1:148" ht="15" customHeight="1" x14ac:dyDescent="0.15">
      <c r="A110" s="84"/>
      <c r="B110" s="28" t="s">
        <v>3</v>
      </c>
      <c r="C110" s="3">
        <v>807</v>
      </c>
      <c r="D110" s="3">
        <v>64</v>
      </c>
      <c r="E110" s="3">
        <v>0</v>
      </c>
      <c r="F110" s="3">
        <v>16</v>
      </c>
      <c r="G110" s="11">
        <v>10756</v>
      </c>
      <c r="H110" s="11">
        <v>39056</v>
      </c>
      <c r="I110" s="66">
        <f>26+0</f>
        <v>26</v>
      </c>
      <c r="J110" s="66">
        <v>25</v>
      </c>
      <c r="K110" s="66">
        <v>29</v>
      </c>
      <c r="L110" s="66">
        <v>25</v>
      </c>
      <c r="M110" s="66">
        <v>785</v>
      </c>
      <c r="N110" s="66">
        <v>310</v>
      </c>
      <c r="O110" s="66">
        <v>1797</v>
      </c>
      <c r="P110" s="66">
        <v>1564</v>
      </c>
      <c r="Q110" s="66">
        <v>1680</v>
      </c>
      <c r="R110" s="66">
        <v>42840</v>
      </c>
      <c r="S110" s="24">
        <f>26+0</f>
        <v>26</v>
      </c>
      <c r="T110" s="24">
        <v>785</v>
      </c>
      <c r="U110" s="13">
        <v>1680</v>
      </c>
      <c r="V110" s="24">
        <v>909</v>
      </c>
      <c r="W110" s="32">
        <v>15832</v>
      </c>
      <c r="X110" s="32">
        <v>2355</v>
      </c>
      <c r="Y110" s="32">
        <v>2387</v>
      </c>
    </row>
    <row r="111" spans="1:148" ht="15" customHeight="1" x14ac:dyDescent="0.15">
      <c r="A111" s="84"/>
      <c r="B111" s="2" t="s">
        <v>21</v>
      </c>
      <c r="C111" s="135">
        <v>5882</v>
      </c>
      <c r="D111" s="135">
        <v>14130</v>
      </c>
      <c r="E111" s="11">
        <v>18310</v>
      </c>
      <c r="F111" s="135">
        <v>12091</v>
      </c>
      <c r="G111" s="11">
        <v>15153</v>
      </c>
      <c r="H111" s="11">
        <v>48042</v>
      </c>
      <c r="I111" s="66">
        <f>16160+0</f>
        <v>16160</v>
      </c>
      <c r="J111" s="66">
        <v>19524</v>
      </c>
      <c r="K111" s="66">
        <v>4653</v>
      </c>
      <c r="L111" s="66">
        <v>5248</v>
      </c>
      <c r="M111" s="66">
        <v>6868</v>
      </c>
      <c r="N111" s="66">
        <v>9559</v>
      </c>
      <c r="O111" s="66">
        <v>9613</v>
      </c>
      <c r="P111" s="85">
        <v>9614</v>
      </c>
      <c r="Q111" s="85">
        <v>9258</v>
      </c>
      <c r="R111" s="85">
        <v>9898</v>
      </c>
      <c r="S111" s="24">
        <f>16160+0</f>
        <v>16160</v>
      </c>
      <c r="T111" s="24">
        <v>6868</v>
      </c>
      <c r="U111" s="13">
        <v>9258</v>
      </c>
      <c r="V111" s="24">
        <v>2001</v>
      </c>
      <c r="W111" s="32">
        <v>2681</v>
      </c>
      <c r="X111" s="32">
        <v>3283</v>
      </c>
      <c r="Y111" s="32">
        <v>3395</v>
      </c>
    </row>
    <row r="112" spans="1:148" ht="15" customHeight="1" x14ac:dyDescent="0.15">
      <c r="A112" s="48"/>
      <c r="B112" s="50" t="s">
        <v>18</v>
      </c>
      <c r="C112" s="72">
        <f>589162+2371</f>
        <v>591533</v>
      </c>
      <c r="D112" s="72">
        <f>667113+100427</f>
        <v>767540</v>
      </c>
      <c r="E112" s="72">
        <v>845704</v>
      </c>
      <c r="F112" s="72">
        <v>951751</v>
      </c>
      <c r="G112" s="72">
        <v>854029</v>
      </c>
      <c r="H112" s="72">
        <v>914122</v>
      </c>
      <c r="I112" s="73">
        <f>729569+0</f>
        <v>729569</v>
      </c>
      <c r="J112" s="73">
        <v>645632</v>
      </c>
      <c r="K112" s="73">
        <v>736395</v>
      </c>
      <c r="L112" s="73">
        <v>674282</v>
      </c>
      <c r="M112" s="73">
        <v>626259</v>
      </c>
      <c r="N112" s="73">
        <v>639098</v>
      </c>
      <c r="O112" s="73">
        <v>772940</v>
      </c>
      <c r="P112" s="73">
        <v>694380</v>
      </c>
      <c r="Q112" s="73">
        <v>709325</v>
      </c>
      <c r="R112" s="73">
        <v>710811</v>
      </c>
      <c r="S112" s="24">
        <f>729569+0</f>
        <v>729569</v>
      </c>
      <c r="T112" s="24">
        <v>626259</v>
      </c>
      <c r="U112" s="13">
        <v>709325</v>
      </c>
      <c r="V112" s="24">
        <v>819516</v>
      </c>
      <c r="W112" s="32">
        <v>1326981</v>
      </c>
      <c r="X112" s="32">
        <v>723536</v>
      </c>
      <c r="Y112" s="32">
        <v>910668</v>
      </c>
    </row>
    <row r="113" spans="1:25" ht="15" customHeight="1" x14ac:dyDescent="0.15">
      <c r="A113" s="48"/>
      <c r="B113" s="50" t="s">
        <v>12</v>
      </c>
      <c r="C113" s="72" t="s">
        <v>22</v>
      </c>
      <c r="D113" s="72" t="s">
        <v>22</v>
      </c>
      <c r="E113" s="72" t="s">
        <v>22</v>
      </c>
      <c r="F113" s="72">
        <v>10873</v>
      </c>
      <c r="G113" s="72">
        <v>13384</v>
      </c>
      <c r="H113" s="72">
        <v>6780</v>
      </c>
      <c r="I113" s="73">
        <f>12341+0</f>
        <v>12341</v>
      </c>
      <c r="J113" s="73">
        <v>11837</v>
      </c>
      <c r="K113" s="73">
        <v>11976</v>
      </c>
      <c r="L113" s="73">
        <v>14084</v>
      </c>
      <c r="M113" s="73">
        <v>11358</v>
      </c>
      <c r="N113" s="73">
        <v>11126</v>
      </c>
      <c r="O113" s="75">
        <v>13905</v>
      </c>
      <c r="P113" s="75">
        <v>11753</v>
      </c>
      <c r="Q113" s="75">
        <v>17225</v>
      </c>
      <c r="R113" s="75">
        <v>20592</v>
      </c>
      <c r="S113" s="17">
        <f>12341+0</f>
        <v>12341</v>
      </c>
      <c r="T113" s="24">
        <v>11358</v>
      </c>
      <c r="U113" s="13">
        <v>17225</v>
      </c>
      <c r="V113" s="24">
        <v>18728</v>
      </c>
      <c r="W113" s="32">
        <v>22253</v>
      </c>
      <c r="X113" s="32">
        <v>17531</v>
      </c>
      <c r="Y113" s="32">
        <v>12830</v>
      </c>
    </row>
    <row r="114" spans="1:25" ht="15" customHeight="1" x14ac:dyDescent="0.15">
      <c r="A114" s="48"/>
      <c r="B114" s="50" t="s">
        <v>25</v>
      </c>
      <c r="C114" s="72">
        <v>14180</v>
      </c>
      <c r="D114" s="72">
        <f>10818+180</f>
        <v>10998</v>
      </c>
      <c r="E114" s="72">
        <v>1622</v>
      </c>
      <c r="F114" s="72">
        <v>3963</v>
      </c>
      <c r="G114" s="72">
        <f>490+2533</f>
        <v>3023</v>
      </c>
      <c r="H114" s="72">
        <v>4974</v>
      </c>
      <c r="I114" s="75">
        <f>9777+0</f>
        <v>9777</v>
      </c>
      <c r="J114" s="75">
        <v>18443</v>
      </c>
      <c r="K114" s="75">
        <v>8749</v>
      </c>
      <c r="L114" s="75">
        <v>9334</v>
      </c>
      <c r="M114" s="75">
        <v>7555</v>
      </c>
      <c r="N114" s="75">
        <v>2918</v>
      </c>
      <c r="O114" s="75">
        <v>2950</v>
      </c>
      <c r="P114" s="75">
        <v>3016</v>
      </c>
      <c r="Q114" s="75">
        <v>1648</v>
      </c>
      <c r="R114" s="75">
        <v>183</v>
      </c>
      <c r="S114" s="24">
        <f>9777+0</f>
        <v>9777</v>
      </c>
      <c r="T114" s="24">
        <v>7555</v>
      </c>
      <c r="U114" s="13">
        <v>1648</v>
      </c>
      <c r="V114" s="24">
        <v>218</v>
      </c>
      <c r="W114" s="32">
        <f>517+581</f>
        <v>1098</v>
      </c>
      <c r="X114" s="32">
        <v>7315</v>
      </c>
      <c r="Y114" s="32">
        <v>18119</v>
      </c>
    </row>
    <row r="115" spans="1:25" ht="15" customHeight="1" x14ac:dyDescent="0.15">
      <c r="A115" s="48"/>
      <c r="B115" s="50" t="s">
        <v>46</v>
      </c>
      <c r="C115" s="72" t="s">
        <v>22</v>
      </c>
      <c r="D115" s="72" t="s">
        <v>22</v>
      </c>
      <c r="E115" s="72">
        <v>20403</v>
      </c>
      <c r="F115" s="72">
        <v>7988</v>
      </c>
      <c r="G115" s="72">
        <v>6405</v>
      </c>
      <c r="H115" s="72">
        <v>10686</v>
      </c>
      <c r="I115" s="75">
        <f>24840+2</f>
        <v>24842</v>
      </c>
      <c r="J115" s="75">
        <f>21790+3</f>
        <v>21793</v>
      </c>
      <c r="K115" s="75">
        <f>18351+3</f>
        <v>18354</v>
      </c>
      <c r="L115" s="75">
        <f>10929+2</f>
        <v>10931</v>
      </c>
      <c r="M115" s="75">
        <v>21238</v>
      </c>
      <c r="N115" s="75">
        <v>6507</v>
      </c>
      <c r="O115" s="75">
        <v>6304</v>
      </c>
      <c r="P115" s="75">
        <v>7890</v>
      </c>
      <c r="Q115" s="75">
        <v>5916</v>
      </c>
      <c r="R115" s="75">
        <v>5695</v>
      </c>
      <c r="S115" s="24">
        <f>24840+2</f>
        <v>24842</v>
      </c>
      <c r="T115" s="24">
        <v>21238</v>
      </c>
      <c r="U115" s="13">
        <v>5916</v>
      </c>
      <c r="V115" s="24">
        <v>15160</v>
      </c>
      <c r="W115" s="32">
        <v>16253</v>
      </c>
      <c r="X115" s="32">
        <v>13102</v>
      </c>
      <c r="Y115" s="32">
        <v>4962</v>
      </c>
    </row>
    <row r="116" spans="1:25" ht="15" customHeight="1" x14ac:dyDescent="0.15">
      <c r="A116" s="48"/>
      <c r="B116" s="50" t="s">
        <v>64</v>
      </c>
      <c r="C116" s="72">
        <f>865222+5853013</f>
        <v>6718235</v>
      </c>
      <c r="D116" s="72">
        <f>1494141+4344472</f>
        <v>5838613</v>
      </c>
      <c r="E116" s="72">
        <f>878319+6562610</f>
        <v>7440929</v>
      </c>
      <c r="F116" s="72">
        <f>722195+4770074</f>
        <v>5492269</v>
      </c>
      <c r="G116" s="72">
        <f>6405+548430+3143982-6405</f>
        <v>3692412</v>
      </c>
      <c r="H116" s="72">
        <f>1167586+3341123-10686</f>
        <v>4498023</v>
      </c>
      <c r="I116" s="75">
        <f>1944883+2466808</f>
        <v>4411691</v>
      </c>
      <c r="J116" s="75">
        <f>1279393+3110701</f>
        <v>4390094</v>
      </c>
      <c r="K116" s="75">
        <f>1011545+3043370</f>
        <v>4054915</v>
      </c>
      <c r="L116" s="75">
        <f>963100+2189959</f>
        <v>3153059</v>
      </c>
      <c r="M116" s="75">
        <f>446765+2786676</f>
        <v>3233441</v>
      </c>
      <c r="N116" s="75">
        <f>419425+2572230</f>
        <v>2991655</v>
      </c>
      <c r="O116" s="75">
        <f>723374+3590208</f>
        <v>4313582</v>
      </c>
      <c r="P116" s="75">
        <v>3449016</v>
      </c>
      <c r="Q116" s="75">
        <f>881969+2040878</f>
        <v>2922847</v>
      </c>
      <c r="R116" s="75">
        <f>955861+2130416</f>
        <v>3086277</v>
      </c>
      <c r="S116" s="24">
        <f>1944883+2466808</f>
        <v>4411691</v>
      </c>
      <c r="T116" s="24">
        <f>446765+2786676</f>
        <v>3233441</v>
      </c>
      <c r="U116" s="13">
        <f>881969+2040878</f>
        <v>2922847</v>
      </c>
      <c r="V116" s="13">
        <f>1988866+710206</f>
        <v>2699072</v>
      </c>
      <c r="W116" s="32">
        <f>2044032+931899</f>
        <v>2975931</v>
      </c>
      <c r="X116" s="32">
        <v>3515656</v>
      </c>
      <c r="Y116" s="32">
        <v>3745409</v>
      </c>
    </row>
    <row r="117" spans="1:25" ht="15" customHeight="1" x14ac:dyDescent="0.15">
      <c r="A117" s="48"/>
      <c r="B117" s="2" t="s">
        <v>88</v>
      </c>
      <c r="C117" s="72">
        <f>372789+757</f>
        <v>373546</v>
      </c>
      <c r="D117" s="72">
        <f>436746+8691</f>
        <v>445437</v>
      </c>
      <c r="E117" s="72">
        <v>599340</v>
      </c>
      <c r="F117" s="72">
        <f>654165+782</f>
        <v>654947</v>
      </c>
      <c r="G117" s="72">
        <f>761572+899</f>
        <v>762471</v>
      </c>
      <c r="H117" s="72">
        <f>804069+1602</f>
        <v>805671</v>
      </c>
      <c r="I117" s="73">
        <f>832678+1266</f>
        <v>833944</v>
      </c>
      <c r="J117" s="75">
        <f>832248+3654</f>
        <v>835902</v>
      </c>
      <c r="K117" s="75">
        <f>898087+7814</f>
        <v>905901</v>
      </c>
      <c r="L117" s="75">
        <f>867683+8085</f>
        <v>875768</v>
      </c>
      <c r="M117" s="75">
        <f>1102048+6849</f>
        <v>1108897</v>
      </c>
      <c r="N117" s="75">
        <f>1065751+8883</f>
        <v>1074634</v>
      </c>
      <c r="O117" s="75">
        <f>813692+7629</f>
        <v>821321</v>
      </c>
      <c r="P117" s="75">
        <v>821181</v>
      </c>
      <c r="Q117" s="75">
        <v>849876</v>
      </c>
      <c r="R117" s="75">
        <f>894106+0</f>
        <v>894106</v>
      </c>
      <c r="S117" s="24">
        <f>832678+1266</f>
        <v>833944</v>
      </c>
      <c r="T117" s="24">
        <f>1102048+6849</f>
        <v>1108897</v>
      </c>
      <c r="U117" s="13">
        <v>849876</v>
      </c>
      <c r="V117" s="13">
        <v>995893</v>
      </c>
      <c r="W117" s="32">
        <v>935822</v>
      </c>
      <c r="X117" s="32">
        <v>1037021</v>
      </c>
      <c r="Y117" s="32">
        <v>1098155</v>
      </c>
    </row>
    <row r="118" spans="1:25" ht="15" customHeight="1" x14ac:dyDescent="0.15">
      <c r="A118" s="48"/>
      <c r="B118" s="28"/>
      <c r="C118" s="66"/>
      <c r="D118" s="66"/>
      <c r="E118" s="66"/>
      <c r="F118" s="66"/>
      <c r="G118" s="130"/>
      <c r="H118" s="130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T118" s="3"/>
      <c r="V118" s="3"/>
      <c r="W118" s="32"/>
      <c r="X118" s="32"/>
      <c r="Y118" s="32"/>
    </row>
    <row r="119" spans="1:25" ht="15" customHeight="1" x14ac:dyDescent="0.15">
      <c r="A119" s="48">
        <v>10</v>
      </c>
      <c r="B119" s="133" t="s">
        <v>10</v>
      </c>
      <c r="C119" s="65">
        <f>3616784+1532956</f>
        <v>5149740</v>
      </c>
      <c r="D119" s="65">
        <f>3027084+1220530</f>
        <v>4247614</v>
      </c>
      <c r="E119" s="65">
        <f>3721691+3420366</f>
        <v>7142057</v>
      </c>
      <c r="F119" s="65">
        <f>2792987+3639440</f>
        <v>6432427</v>
      </c>
      <c r="G119" s="69">
        <f>2325125+790718</f>
        <v>3115843</v>
      </c>
      <c r="H119" s="65">
        <f>1971894+478239</f>
        <v>2450133</v>
      </c>
      <c r="I119" s="66">
        <f>1943387+353631</f>
        <v>2297018</v>
      </c>
      <c r="J119" s="66">
        <f>2113768+383622</f>
        <v>2497390</v>
      </c>
      <c r="K119" s="66">
        <f>2006899+372162</f>
        <v>2379061</v>
      </c>
      <c r="L119" s="66">
        <f>1914338+377051</f>
        <v>2291389</v>
      </c>
      <c r="M119" s="66">
        <f>1800452+351959</f>
        <v>2152411</v>
      </c>
      <c r="N119" s="66">
        <f>1921623+422797</f>
        <v>2344420</v>
      </c>
      <c r="O119" s="66">
        <f>1813524+388291</f>
        <v>2201815</v>
      </c>
      <c r="P119" s="91">
        <v>2388329</v>
      </c>
      <c r="Q119" s="91">
        <v>2477860</v>
      </c>
      <c r="R119" s="91">
        <f>2037211+434639</f>
        <v>2471850</v>
      </c>
      <c r="S119" s="8">
        <f>1943387+353631</f>
        <v>2297018</v>
      </c>
      <c r="T119" s="19">
        <f>1800452+351959</f>
        <v>2152411</v>
      </c>
      <c r="U119" s="19">
        <f>2065215+412645</f>
        <v>2477860</v>
      </c>
      <c r="V119" s="19">
        <f>SUM(V120:V127)</f>
        <v>2395490</v>
      </c>
      <c r="W119" s="19">
        <f t="shared" ref="W119" si="22">SUM(W120:W127)</f>
        <v>3190285</v>
      </c>
      <c r="X119" s="19">
        <v>2886433</v>
      </c>
      <c r="Y119" s="19">
        <v>2737238</v>
      </c>
    </row>
    <row r="120" spans="1:25" ht="15" customHeight="1" x14ac:dyDescent="0.15">
      <c r="A120" s="48"/>
      <c r="B120" s="28" t="s">
        <v>3</v>
      </c>
      <c r="C120" s="135">
        <v>376432</v>
      </c>
      <c r="D120" s="135">
        <v>90767</v>
      </c>
      <c r="E120" s="11">
        <v>93971</v>
      </c>
      <c r="F120" s="135">
        <v>103072</v>
      </c>
      <c r="G120" s="11">
        <v>96972</v>
      </c>
      <c r="H120" s="11">
        <v>94118</v>
      </c>
      <c r="I120" s="66">
        <v>142276</v>
      </c>
      <c r="J120" s="66">
        <v>246812</v>
      </c>
      <c r="K120" s="66">
        <v>228342</v>
      </c>
      <c r="L120" s="66">
        <v>210497</v>
      </c>
      <c r="M120" s="66">
        <v>200286</v>
      </c>
      <c r="N120" s="66">
        <v>391028</v>
      </c>
      <c r="O120" s="66">
        <v>376216</v>
      </c>
      <c r="P120" s="66">
        <v>315921</v>
      </c>
      <c r="Q120" s="66">
        <v>467623</v>
      </c>
      <c r="R120" s="66">
        <v>445344</v>
      </c>
      <c r="S120" s="24">
        <v>142276</v>
      </c>
      <c r="T120" s="32">
        <v>200286</v>
      </c>
      <c r="U120" s="32">
        <v>467623</v>
      </c>
      <c r="V120" s="32">
        <v>413585</v>
      </c>
      <c r="W120" s="32">
        <v>808383</v>
      </c>
      <c r="X120" s="32">
        <v>994722</v>
      </c>
      <c r="Y120" s="32">
        <v>956043</v>
      </c>
    </row>
    <row r="121" spans="1:25" ht="15" customHeight="1" x14ac:dyDescent="0.15">
      <c r="A121" s="48"/>
      <c r="B121" s="80" t="s">
        <v>21</v>
      </c>
      <c r="C121" s="72">
        <v>13725</v>
      </c>
      <c r="D121" s="72">
        <v>24267</v>
      </c>
      <c r="E121" s="72">
        <v>19885</v>
      </c>
      <c r="F121" s="72">
        <v>26946</v>
      </c>
      <c r="G121" s="72">
        <v>29695</v>
      </c>
      <c r="H121" s="72">
        <v>29131</v>
      </c>
      <c r="I121" s="75">
        <f>32318+0</f>
        <v>32318</v>
      </c>
      <c r="J121" s="75">
        <v>64961</v>
      </c>
      <c r="K121" s="75">
        <v>73657</v>
      </c>
      <c r="L121" s="75">
        <v>50950</v>
      </c>
      <c r="M121" s="75">
        <v>42691</v>
      </c>
      <c r="N121" s="75">
        <v>41199</v>
      </c>
      <c r="O121" s="75">
        <v>33597</v>
      </c>
      <c r="P121" s="73">
        <v>60546</v>
      </c>
      <c r="Q121" s="73">
        <v>38083</v>
      </c>
      <c r="R121" s="73">
        <v>155413</v>
      </c>
      <c r="S121" s="24">
        <f>32318+0</f>
        <v>32318</v>
      </c>
      <c r="T121" s="32">
        <v>42691</v>
      </c>
      <c r="U121" s="32">
        <v>38083</v>
      </c>
      <c r="V121" s="32">
        <v>239350</v>
      </c>
      <c r="W121" s="32">
        <v>55201</v>
      </c>
      <c r="X121" s="32">
        <v>59548</v>
      </c>
      <c r="Y121" s="32">
        <v>64437</v>
      </c>
    </row>
    <row r="122" spans="1:25" ht="15" customHeight="1" x14ac:dyDescent="0.15">
      <c r="A122" s="48"/>
      <c r="B122" s="28" t="s">
        <v>18</v>
      </c>
      <c r="C122" s="72">
        <f>980769+276910</f>
        <v>1257679</v>
      </c>
      <c r="D122" s="72">
        <f>1307105+141996</f>
        <v>1449101</v>
      </c>
      <c r="E122" s="72">
        <f>1228681+366061</f>
        <v>1594742</v>
      </c>
      <c r="F122" s="72">
        <f>1195487+274761</f>
        <v>1470248</v>
      </c>
      <c r="G122" s="72">
        <f>619469+17090</f>
        <v>636559</v>
      </c>
      <c r="H122" s="72">
        <f>514417+14172</f>
        <v>528589</v>
      </c>
      <c r="I122" s="73">
        <f>573536+14410</f>
        <v>587946</v>
      </c>
      <c r="J122" s="73">
        <f>629146+17799</f>
        <v>646945</v>
      </c>
      <c r="K122" s="73">
        <f>554961+12834</f>
        <v>567795</v>
      </c>
      <c r="L122" s="73">
        <f>540981+11445</f>
        <v>552426</v>
      </c>
      <c r="M122" s="73">
        <f>394264+11324</f>
        <v>405588</v>
      </c>
      <c r="N122" s="73">
        <v>360474</v>
      </c>
      <c r="O122" s="73">
        <v>406632</v>
      </c>
      <c r="P122" s="73">
        <v>514902</v>
      </c>
      <c r="Q122" s="73">
        <v>455632</v>
      </c>
      <c r="R122" s="73">
        <v>348755</v>
      </c>
      <c r="S122" s="24">
        <f>573536+14410</f>
        <v>587946</v>
      </c>
      <c r="T122" s="32">
        <f>394264+11324</f>
        <v>405588</v>
      </c>
      <c r="U122" s="32">
        <v>455632</v>
      </c>
      <c r="V122" s="32">
        <v>312116</v>
      </c>
      <c r="W122" s="32">
        <v>525257</v>
      </c>
      <c r="X122" s="32">
        <v>393392</v>
      </c>
      <c r="Y122" s="32">
        <v>345132</v>
      </c>
    </row>
    <row r="123" spans="1:25" ht="15" customHeight="1" x14ac:dyDescent="0.15">
      <c r="A123" s="48"/>
      <c r="B123" s="28" t="s">
        <v>12</v>
      </c>
      <c r="C123" s="92" t="s">
        <v>22</v>
      </c>
      <c r="D123" s="92" t="s">
        <v>22</v>
      </c>
      <c r="E123" s="92" t="s">
        <v>22</v>
      </c>
      <c r="F123" s="92">
        <v>1838</v>
      </c>
      <c r="G123" s="74">
        <v>1840</v>
      </c>
      <c r="H123" s="72">
        <v>1923</v>
      </c>
      <c r="I123" s="73">
        <v>0</v>
      </c>
      <c r="J123" s="73">
        <v>0</v>
      </c>
      <c r="K123" s="73">
        <v>0</v>
      </c>
      <c r="L123" s="73">
        <v>0</v>
      </c>
      <c r="M123" s="73">
        <v>0</v>
      </c>
      <c r="N123" s="73">
        <v>0</v>
      </c>
      <c r="O123" s="73">
        <v>5860</v>
      </c>
      <c r="P123" s="73">
        <v>5861</v>
      </c>
      <c r="Q123" s="73">
        <v>5862</v>
      </c>
      <c r="R123" s="73">
        <v>0</v>
      </c>
      <c r="S123" s="17">
        <v>0</v>
      </c>
      <c r="T123" s="32">
        <v>0</v>
      </c>
      <c r="U123" s="32">
        <v>5862</v>
      </c>
      <c r="V123" s="32">
        <v>5878</v>
      </c>
      <c r="W123" s="32">
        <v>10680</v>
      </c>
      <c r="X123" s="32">
        <v>22055</v>
      </c>
      <c r="Y123" s="32">
        <v>7972</v>
      </c>
    </row>
    <row r="124" spans="1:25" ht="15" customHeight="1" x14ac:dyDescent="0.15">
      <c r="A124" s="48"/>
      <c r="B124" s="28" t="s">
        <v>33</v>
      </c>
      <c r="C124" s="92">
        <v>13652</v>
      </c>
      <c r="D124" s="72">
        <f>29469+33350</f>
        <v>62819</v>
      </c>
      <c r="E124" s="72">
        <v>13737</v>
      </c>
      <c r="F124" s="72">
        <v>9427</v>
      </c>
      <c r="G124" s="72">
        <f>1738+4404</f>
        <v>6142</v>
      </c>
      <c r="H124" s="72">
        <v>29641</v>
      </c>
      <c r="I124" s="73">
        <f>32982+0</f>
        <v>32982</v>
      </c>
      <c r="J124" s="73">
        <v>31957</v>
      </c>
      <c r="K124" s="73">
        <f>33491+1342</f>
        <v>34833</v>
      </c>
      <c r="L124" s="73">
        <v>44962</v>
      </c>
      <c r="M124" s="73">
        <f>39382+2573</f>
        <v>41955</v>
      </c>
      <c r="N124" s="73">
        <v>51773</v>
      </c>
      <c r="O124" s="73">
        <v>30941</v>
      </c>
      <c r="P124" s="73">
        <v>29430</v>
      </c>
      <c r="Q124" s="73">
        <v>15291</v>
      </c>
      <c r="R124" s="73">
        <f>7263+8449</f>
        <v>15712</v>
      </c>
      <c r="S124" s="24">
        <f>32982+0</f>
        <v>32982</v>
      </c>
      <c r="T124" s="32">
        <f>39382+2573</f>
        <v>41955</v>
      </c>
      <c r="U124" s="32">
        <v>15291</v>
      </c>
      <c r="V124" s="32">
        <f>8087+11</f>
        <v>8098</v>
      </c>
      <c r="W124" s="32">
        <f>5410+21328</f>
        <v>26738</v>
      </c>
      <c r="X124" s="32">
        <v>57779</v>
      </c>
      <c r="Y124" s="32">
        <v>23565</v>
      </c>
    </row>
    <row r="125" spans="1:25" ht="15" customHeight="1" x14ac:dyDescent="0.15">
      <c r="A125" s="48"/>
      <c r="B125" s="77" t="s">
        <v>46</v>
      </c>
      <c r="C125" s="136" t="s">
        <v>22</v>
      </c>
      <c r="D125" s="136" t="s">
        <v>22</v>
      </c>
      <c r="E125" s="72">
        <v>79396</v>
      </c>
      <c r="F125" s="72">
        <v>61232</v>
      </c>
      <c r="G125" s="72">
        <v>22496</v>
      </c>
      <c r="H125" s="72">
        <v>14927</v>
      </c>
      <c r="I125" s="89">
        <f>38789+120</f>
        <v>38909</v>
      </c>
      <c r="J125" s="137">
        <v>31940</v>
      </c>
      <c r="K125" s="137">
        <v>39687</v>
      </c>
      <c r="L125" s="137">
        <v>35896</v>
      </c>
      <c r="M125" s="137">
        <f>19516+14809</f>
        <v>34325</v>
      </c>
      <c r="N125" s="137">
        <f>18939+20011</f>
        <v>38950</v>
      </c>
      <c r="O125" s="137">
        <v>16975</v>
      </c>
      <c r="P125" s="137">
        <v>20643</v>
      </c>
      <c r="Q125" s="137">
        <v>34947</v>
      </c>
      <c r="R125" s="137">
        <v>4521</v>
      </c>
      <c r="S125" s="24">
        <f>38789+120</f>
        <v>38909</v>
      </c>
      <c r="T125" s="32">
        <f>19516+14809</f>
        <v>34325</v>
      </c>
      <c r="U125" s="32">
        <v>34947</v>
      </c>
      <c r="V125" s="32">
        <f>93062+11474</f>
        <v>104536</v>
      </c>
      <c r="W125" s="32">
        <f>78483+9316</f>
        <v>87799</v>
      </c>
      <c r="X125" s="32">
        <v>9999</v>
      </c>
      <c r="Y125" s="32">
        <v>9196</v>
      </c>
    </row>
    <row r="126" spans="1:25" ht="15" customHeight="1" x14ac:dyDescent="0.15">
      <c r="A126" s="48"/>
      <c r="B126" s="77" t="s">
        <v>64</v>
      </c>
      <c r="C126" s="72">
        <f>1094531+1247017</f>
        <v>2341548</v>
      </c>
      <c r="D126" s="72">
        <f>609859+1014891+469</f>
        <v>1625219</v>
      </c>
      <c r="E126" s="72">
        <f>764718+3051091</f>
        <v>3815809</v>
      </c>
      <c r="F126" s="72">
        <f>558142+3354820</f>
        <v>3912962</v>
      </c>
      <c r="G126" s="72">
        <f>22496+488836+766764-22496</f>
        <v>1255600</v>
      </c>
      <c r="H126" s="72">
        <f>388330+457036-14927</f>
        <v>830439</v>
      </c>
      <c r="I126" s="89">
        <f>333949+319489</f>
        <v>653438</v>
      </c>
      <c r="J126" s="137">
        <f>304165+355152</f>
        <v>659317</v>
      </c>
      <c r="K126" s="137">
        <f>268113+348218</f>
        <v>616331</v>
      </c>
      <c r="L126" s="137">
        <f>276097+354919</f>
        <v>631016</v>
      </c>
      <c r="M126" s="137">
        <f>234405+315377</f>
        <v>549782</v>
      </c>
      <c r="N126" s="137">
        <f>240481+393395</f>
        <v>633876</v>
      </c>
      <c r="O126" s="137">
        <f>230604+377399</f>
        <v>608003</v>
      </c>
      <c r="P126" s="137">
        <v>749041</v>
      </c>
      <c r="Q126" s="137">
        <f>332048+406265</f>
        <v>738313</v>
      </c>
      <c r="R126" s="137">
        <f>407003+428471</f>
        <v>835474</v>
      </c>
      <c r="S126" s="24">
        <f>333949+319489</f>
        <v>653438</v>
      </c>
      <c r="T126" s="32">
        <f>234405+315377</f>
        <v>549782</v>
      </c>
      <c r="U126" s="32">
        <f>332048+406265</f>
        <v>738313</v>
      </c>
      <c r="V126" s="32">
        <f>194775+405011</f>
        <v>599786</v>
      </c>
      <c r="W126" s="32">
        <f>337391+501031</f>
        <v>838422</v>
      </c>
      <c r="X126" s="32">
        <v>699734</v>
      </c>
      <c r="Y126" s="32">
        <v>650121</v>
      </c>
    </row>
    <row r="127" spans="1:25" ht="15" customHeight="1" x14ac:dyDescent="0.15">
      <c r="A127" s="48"/>
      <c r="B127" s="2" t="s">
        <v>88</v>
      </c>
      <c r="C127" s="135">
        <f>1137675+9029</f>
        <v>1146704</v>
      </c>
      <c r="D127" s="135">
        <f>965617+29824</f>
        <v>995441</v>
      </c>
      <c r="E127" s="11">
        <f>1521303+3214</f>
        <v>1524517</v>
      </c>
      <c r="F127" s="135">
        <f>836843+9859</f>
        <v>846702</v>
      </c>
      <c r="G127" s="72">
        <f>1059675+6864</f>
        <v>1066539</v>
      </c>
      <c r="H127" s="72">
        <f>914334+7031</f>
        <v>921365</v>
      </c>
      <c r="I127" s="93">
        <f>789537+19612</f>
        <v>809149</v>
      </c>
      <c r="J127" s="93">
        <f>804787+10671</f>
        <v>815458</v>
      </c>
      <c r="K127" s="90">
        <f>807306+11110</f>
        <v>818416</v>
      </c>
      <c r="L127" s="93">
        <f>754955+10687</f>
        <v>765642</v>
      </c>
      <c r="M127" s="75">
        <f>867335+10449</f>
        <v>877784</v>
      </c>
      <c r="N127" s="75">
        <f>817728+9391</f>
        <v>827119</v>
      </c>
      <c r="O127" s="75">
        <f>712699+10892</f>
        <v>723591</v>
      </c>
      <c r="P127" s="85">
        <v>691985</v>
      </c>
      <c r="Q127" s="85">
        <f>715729+6380</f>
        <v>722109</v>
      </c>
      <c r="R127" s="85">
        <f>660463+6168</f>
        <v>666631</v>
      </c>
      <c r="S127" s="24">
        <f>789537+19612</f>
        <v>809149</v>
      </c>
      <c r="T127" s="32">
        <f>867335+10449</f>
        <v>877784</v>
      </c>
      <c r="U127" s="32">
        <f>715729+6380</f>
        <v>722109</v>
      </c>
      <c r="V127" s="32">
        <f>2074+710067</f>
        <v>712141</v>
      </c>
      <c r="W127" s="32">
        <f>7955+829850</f>
        <v>837805</v>
      </c>
      <c r="X127" s="32">
        <v>649204</v>
      </c>
      <c r="Y127" s="32">
        <v>680772</v>
      </c>
    </row>
    <row r="128" spans="1:25" ht="15" customHeight="1" x14ac:dyDescent="0.15">
      <c r="A128" s="84"/>
      <c r="B128" s="62"/>
      <c r="C128" s="138"/>
      <c r="D128" s="90"/>
      <c r="E128" s="90"/>
      <c r="F128" s="73"/>
      <c r="G128" s="130"/>
      <c r="H128" s="130"/>
      <c r="I128" s="66" t="s">
        <v>60</v>
      </c>
      <c r="J128" s="66" t="s">
        <v>60</v>
      </c>
      <c r="K128" s="66" t="s">
        <v>60</v>
      </c>
      <c r="L128" s="66" t="s">
        <v>60</v>
      </c>
      <c r="M128" s="66" t="s">
        <v>60</v>
      </c>
      <c r="N128" s="66" t="s">
        <v>60</v>
      </c>
      <c r="O128" s="66" t="s">
        <v>60</v>
      </c>
      <c r="P128" s="66"/>
      <c r="Q128" s="66"/>
      <c r="R128" s="66"/>
      <c r="S128" s="8" t="s">
        <v>60</v>
      </c>
      <c r="T128" s="8" t="s">
        <v>60</v>
      </c>
      <c r="U128" s="8"/>
      <c r="V128" s="8"/>
      <c r="W128" s="8"/>
      <c r="X128" s="8"/>
      <c r="Y128" s="8"/>
    </row>
    <row r="129" spans="1:25" ht="15" customHeight="1" x14ac:dyDescent="0.15">
      <c r="A129" s="48">
        <v>11</v>
      </c>
      <c r="B129" s="62" t="s">
        <v>39</v>
      </c>
      <c r="C129" s="69">
        <f>3521354+216926904</f>
        <v>220448258</v>
      </c>
      <c r="D129" s="69">
        <f>4479287+260316134</f>
        <v>264795421</v>
      </c>
      <c r="E129" s="69">
        <f>3213162+261723569</f>
        <v>264936731</v>
      </c>
      <c r="F129" s="65">
        <f>3691460+274335747</f>
        <v>278027207</v>
      </c>
      <c r="G129" s="65">
        <f>4296286+1862212</f>
        <v>6158498</v>
      </c>
      <c r="H129" s="65">
        <f>4301744+1848067</f>
        <v>6149811</v>
      </c>
      <c r="I129" s="66">
        <f>3378744+1817471</f>
        <v>5196215</v>
      </c>
      <c r="J129" s="66">
        <f>3173627+1884864</f>
        <v>5058491</v>
      </c>
      <c r="K129" s="66">
        <f>3152021+1771890</f>
        <v>4923911</v>
      </c>
      <c r="L129" s="66">
        <f>3154313+1911190</f>
        <v>5065503</v>
      </c>
      <c r="M129" s="66">
        <f>3368112+2130629</f>
        <v>5498741</v>
      </c>
      <c r="N129" s="66">
        <f>3488010+1955180</f>
        <v>5443190</v>
      </c>
      <c r="O129" s="66">
        <f>3356784+1734309</f>
        <v>5091093</v>
      </c>
      <c r="P129" s="66">
        <v>6863314</v>
      </c>
      <c r="Q129" s="66">
        <f>5458867+2741871</f>
        <v>8200738</v>
      </c>
      <c r="R129" s="66">
        <f>5155596+2678538</f>
        <v>7834134</v>
      </c>
      <c r="S129" s="8">
        <f>3378744+1817471</f>
        <v>5196215</v>
      </c>
      <c r="T129" s="19">
        <f>3368112+2130629</f>
        <v>5498741</v>
      </c>
      <c r="U129" s="19">
        <f>5458867+2741871</f>
        <v>8200738</v>
      </c>
      <c r="V129" s="19">
        <f>SUM(V130:V134)</f>
        <v>6682148</v>
      </c>
      <c r="W129" s="19">
        <f t="shared" ref="W129" si="23">SUM(W130:W134)</f>
        <v>7032888</v>
      </c>
      <c r="X129" s="19">
        <v>6032548</v>
      </c>
      <c r="Y129" s="19">
        <v>5302180</v>
      </c>
    </row>
    <row r="130" spans="1:25" ht="15" customHeight="1" x14ac:dyDescent="0.15">
      <c r="A130" s="48"/>
      <c r="B130" s="50" t="s">
        <v>20</v>
      </c>
      <c r="C130" s="72">
        <f>3521354+216926904</f>
        <v>220448258</v>
      </c>
      <c r="D130" s="72">
        <f>4479287+260316134</f>
        <v>264795421</v>
      </c>
      <c r="E130" s="72">
        <v>264936731</v>
      </c>
      <c r="F130" s="72">
        <f>533385+239276697</f>
        <v>239810082</v>
      </c>
      <c r="G130" s="72">
        <f>2229534+363501</f>
        <v>2593035</v>
      </c>
      <c r="H130" s="72">
        <f>355247+1977930</f>
        <v>2333177</v>
      </c>
      <c r="I130" s="75">
        <f>2049603+36</f>
        <v>2049639</v>
      </c>
      <c r="J130" s="75">
        <f>1908045+105</f>
        <v>1908150</v>
      </c>
      <c r="K130" s="75">
        <f>2003986+495725</f>
        <v>2499711</v>
      </c>
      <c r="L130" s="75">
        <f>2040595+494560</f>
        <v>2535155</v>
      </c>
      <c r="M130" s="75">
        <f>2053697+679</f>
        <v>2054376</v>
      </c>
      <c r="N130" s="75">
        <v>2123903</v>
      </c>
      <c r="O130" s="75">
        <v>1918207</v>
      </c>
      <c r="P130" s="75">
        <v>3563731</v>
      </c>
      <c r="Q130" s="75">
        <v>3396078</v>
      </c>
      <c r="R130" s="75">
        <v>3278413</v>
      </c>
      <c r="S130" s="32">
        <f>2049603+36</f>
        <v>2049639</v>
      </c>
      <c r="T130" s="32">
        <f>2053697+679</f>
        <v>2054376</v>
      </c>
      <c r="U130" s="32">
        <v>3396078</v>
      </c>
      <c r="V130" s="32">
        <f>427+3021343</f>
        <v>3021770</v>
      </c>
      <c r="W130" s="32">
        <v>2466260</v>
      </c>
      <c r="X130" s="32">
        <v>2007436</v>
      </c>
      <c r="Y130" s="32">
        <v>1795861</v>
      </c>
    </row>
    <row r="131" spans="1:25" ht="15" customHeight="1" x14ac:dyDescent="0.15">
      <c r="A131" s="48"/>
      <c r="B131" s="50" t="s">
        <v>47</v>
      </c>
      <c r="C131" s="74" t="s">
        <v>22</v>
      </c>
      <c r="D131" s="74" t="s">
        <v>22</v>
      </c>
      <c r="E131" s="74" t="s">
        <v>22</v>
      </c>
      <c r="F131" s="72">
        <v>35059050</v>
      </c>
      <c r="G131" s="72">
        <v>1498711</v>
      </c>
      <c r="H131" s="72">
        <v>251007</v>
      </c>
      <c r="I131" s="75">
        <f>96+317</f>
        <v>413</v>
      </c>
      <c r="J131" s="75">
        <f>2158+522862</f>
        <v>525020</v>
      </c>
      <c r="K131" s="75">
        <f>3025+26</f>
        <v>3051</v>
      </c>
      <c r="L131" s="75">
        <f>1945+435</f>
        <v>2380</v>
      </c>
      <c r="M131" s="75">
        <v>1658</v>
      </c>
      <c r="N131" s="75">
        <v>1708</v>
      </c>
      <c r="O131" s="75">
        <f>1108+8901</f>
        <v>10009</v>
      </c>
      <c r="P131" s="75">
        <v>16170</v>
      </c>
      <c r="Q131" s="75">
        <f>-9693+646835</f>
        <v>637142</v>
      </c>
      <c r="R131" s="75">
        <f>235+677544</f>
        <v>677779</v>
      </c>
      <c r="S131" s="32">
        <f>96+317</f>
        <v>413</v>
      </c>
      <c r="T131" s="32">
        <v>1658</v>
      </c>
      <c r="U131" s="32">
        <f>-9693+646835</f>
        <v>637142</v>
      </c>
      <c r="V131" s="32">
        <v>7933</v>
      </c>
      <c r="W131" s="32">
        <f>708+48888</f>
        <v>49596</v>
      </c>
      <c r="X131" s="32">
        <v>19835</v>
      </c>
      <c r="Y131" s="32">
        <v>39531</v>
      </c>
    </row>
    <row r="132" spans="1:25" ht="15" customHeight="1" x14ac:dyDescent="0.15">
      <c r="A132" s="48"/>
      <c r="B132" s="50" t="s">
        <v>64</v>
      </c>
      <c r="C132" s="74" t="s">
        <v>22</v>
      </c>
      <c r="D132" s="74" t="s">
        <v>22</v>
      </c>
      <c r="E132" s="74" t="s">
        <v>22</v>
      </c>
      <c r="F132" s="88">
        <v>0</v>
      </c>
      <c r="G132" s="88">
        <v>0</v>
      </c>
      <c r="H132" s="72">
        <f>391628+47566</f>
        <v>439194</v>
      </c>
      <c r="I132" s="73">
        <f>101601+1258528</f>
        <v>1360129</v>
      </c>
      <c r="J132" s="73">
        <f>65575+674737</f>
        <v>740312</v>
      </c>
      <c r="K132" s="73">
        <f>112683+575979</f>
        <v>688662</v>
      </c>
      <c r="L132" s="73">
        <f>115721+620481</f>
        <v>736202</v>
      </c>
      <c r="M132" s="75">
        <f>156598+1273244</f>
        <v>1429842</v>
      </c>
      <c r="N132" s="75">
        <f>146177+1047724</f>
        <v>1193901</v>
      </c>
      <c r="O132" s="75">
        <f>197171+655725</f>
        <v>852896</v>
      </c>
      <c r="P132" s="75">
        <v>1048591</v>
      </c>
      <c r="Q132" s="75">
        <f>349014+517386</f>
        <v>866400</v>
      </c>
      <c r="R132" s="75">
        <f>502327+356423</f>
        <v>858750</v>
      </c>
      <c r="S132" s="32">
        <f>101601+1258528</f>
        <v>1360129</v>
      </c>
      <c r="T132" s="32">
        <f>156598+1273244</f>
        <v>1429842</v>
      </c>
      <c r="U132" s="32">
        <f>349014+517386</f>
        <v>866400</v>
      </c>
      <c r="V132" s="32">
        <f>480791+623617</f>
        <v>1104408</v>
      </c>
      <c r="W132" s="32">
        <f>607931+452021</f>
        <v>1059952</v>
      </c>
      <c r="X132" s="32">
        <v>823619</v>
      </c>
      <c r="Y132" s="32">
        <v>1037962</v>
      </c>
    </row>
    <row r="133" spans="1:25" s="21" customFormat="1" ht="15" customHeight="1" x14ac:dyDescent="0.15">
      <c r="A133" s="29"/>
      <c r="B133" s="21" t="s">
        <v>82</v>
      </c>
      <c r="C133" s="139" t="s">
        <v>22</v>
      </c>
      <c r="D133" s="139" t="s">
        <v>22</v>
      </c>
      <c r="E133" s="139" t="s">
        <v>22</v>
      </c>
      <c r="F133" s="139">
        <v>3158075</v>
      </c>
      <c r="G133" s="140">
        <v>1383370</v>
      </c>
      <c r="H133" s="140">
        <f>256651+1759253</f>
        <v>2015904</v>
      </c>
      <c r="I133" s="141" t="s">
        <v>22</v>
      </c>
      <c r="J133" s="141">
        <f>586404+470316</f>
        <v>1056720</v>
      </c>
      <c r="K133" s="141">
        <f>387135+480833</f>
        <v>867968</v>
      </c>
      <c r="L133" s="141">
        <f>395676+544704</f>
        <v>940380</v>
      </c>
      <c r="M133" s="141">
        <f>433380+710156</f>
        <v>1143536</v>
      </c>
      <c r="N133" s="141">
        <f>587861+810354</f>
        <v>1398215</v>
      </c>
      <c r="O133" s="141">
        <f>519213+1007643</f>
        <v>1526856</v>
      </c>
      <c r="P133" s="141">
        <v>1983716</v>
      </c>
      <c r="Q133" s="141">
        <f>1063987+1572839</f>
        <v>2636826</v>
      </c>
      <c r="R133" s="141">
        <f>983765+1643756</f>
        <v>2627521</v>
      </c>
      <c r="S133" s="142">
        <f>745372+304338</f>
        <v>1049710</v>
      </c>
      <c r="T133" s="32">
        <f>433380+710156</f>
        <v>1143536</v>
      </c>
      <c r="U133" s="32">
        <f>1063987+1572839</f>
        <v>2636826</v>
      </c>
      <c r="V133" s="32">
        <f>886060+114018</f>
        <v>1000078</v>
      </c>
      <c r="W133" s="32">
        <f>949354+864233</f>
        <v>1813587</v>
      </c>
      <c r="X133" s="32">
        <v>1763626</v>
      </c>
      <c r="Y133" s="32">
        <v>1765953</v>
      </c>
    </row>
    <row r="134" spans="1:25" s="21" customFormat="1" ht="15" customHeight="1" x14ac:dyDescent="0.15">
      <c r="A134" s="29"/>
      <c r="B134" s="21" t="s">
        <v>84</v>
      </c>
      <c r="C134" s="139" t="s">
        <v>22</v>
      </c>
      <c r="D134" s="139" t="s">
        <v>22</v>
      </c>
      <c r="E134" s="139" t="s">
        <v>22</v>
      </c>
      <c r="F134" s="139" t="s">
        <v>22</v>
      </c>
      <c r="G134" s="140">
        <v>683382</v>
      </c>
      <c r="H134" s="140">
        <f>593534+516995</f>
        <v>1110529</v>
      </c>
      <c r="I134" s="21" t="s">
        <v>22</v>
      </c>
      <c r="J134" s="21">
        <f>611445+216844</f>
        <v>828289</v>
      </c>
      <c r="K134" s="21">
        <f>645192+219327</f>
        <v>864519</v>
      </c>
      <c r="L134" s="21">
        <f>600376+251010</f>
        <v>851386</v>
      </c>
      <c r="M134" s="21">
        <f>722779+146550</f>
        <v>869329</v>
      </c>
      <c r="N134" s="21">
        <f>628361+97102</f>
        <v>725463</v>
      </c>
      <c r="O134" s="21">
        <f>721085+62040</f>
        <v>783125</v>
      </c>
      <c r="P134" s="143">
        <v>251106</v>
      </c>
      <c r="Q134" s="143">
        <f>659481+4811</f>
        <v>664292</v>
      </c>
      <c r="R134" s="143">
        <f>390856+815</f>
        <v>391671</v>
      </c>
      <c r="S134" s="142">
        <f>482072+254252</f>
        <v>736324</v>
      </c>
      <c r="T134" s="32">
        <f>722779+146550</f>
        <v>869329</v>
      </c>
      <c r="U134" s="32">
        <f>659481+4811</f>
        <v>664292</v>
      </c>
      <c r="V134" s="32">
        <f>1127604+420355</f>
        <v>1547959</v>
      </c>
      <c r="W134" s="32">
        <f>971612+671881</f>
        <v>1643493</v>
      </c>
      <c r="X134" s="32">
        <v>1418032</v>
      </c>
      <c r="Y134" s="32">
        <v>662873</v>
      </c>
    </row>
    <row r="135" spans="1:25" ht="12" customHeight="1" x14ac:dyDescent="0.15">
      <c r="A135" s="48"/>
      <c r="B135" s="62"/>
      <c r="C135" s="95"/>
      <c r="D135" s="95"/>
      <c r="E135" s="95"/>
      <c r="F135" s="130"/>
      <c r="G135" s="130"/>
      <c r="H135" s="130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45"/>
      <c r="T135" s="45"/>
      <c r="U135" s="45"/>
      <c r="V135" s="45"/>
      <c r="W135" s="45"/>
      <c r="X135" s="45"/>
      <c r="Y135" s="45"/>
    </row>
    <row r="136" spans="1:25" ht="15.95" customHeight="1" x14ac:dyDescent="0.15">
      <c r="A136" s="84">
        <v>12</v>
      </c>
      <c r="B136" s="62" t="s">
        <v>58</v>
      </c>
      <c r="C136" s="96">
        <v>0</v>
      </c>
      <c r="D136" s="96">
        <v>0</v>
      </c>
      <c r="E136" s="96">
        <v>0</v>
      </c>
      <c r="F136" s="96">
        <v>0</v>
      </c>
      <c r="G136" s="96">
        <v>0</v>
      </c>
      <c r="H136" s="65">
        <v>2481</v>
      </c>
      <c r="I136" s="73">
        <f>41+288688</f>
        <v>288729</v>
      </c>
      <c r="J136" s="73">
        <f>0+144747</f>
        <v>144747</v>
      </c>
      <c r="K136" s="73">
        <v>287998</v>
      </c>
      <c r="L136" s="73">
        <f>114000+45748</f>
        <v>159748</v>
      </c>
      <c r="M136" s="73">
        <v>320965</v>
      </c>
      <c r="N136" s="73">
        <v>964464</v>
      </c>
      <c r="O136" s="73">
        <f>0+1606534</f>
        <v>1606534</v>
      </c>
      <c r="P136" s="75">
        <v>1778743</v>
      </c>
      <c r="Q136" s="75">
        <v>1706616</v>
      </c>
      <c r="R136" s="75">
        <f>74049+1758693</f>
        <v>1832742</v>
      </c>
      <c r="S136" s="8">
        <f>41+288688</f>
        <v>288729</v>
      </c>
      <c r="T136" s="19">
        <v>320965</v>
      </c>
      <c r="U136" s="19">
        <v>1706618</v>
      </c>
      <c r="V136" s="19">
        <v>1645002</v>
      </c>
      <c r="W136" s="19">
        <f>1553758+57061</f>
        <v>1610819</v>
      </c>
      <c r="X136" s="19">
        <v>562078</v>
      </c>
      <c r="Y136" s="19">
        <v>0</v>
      </c>
    </row>
    <row r="137" spans="1:25" ht="15.95" customHeight="1" x14ac:dyDescent="0.15">
      <c r="A137" s="84">
        <v>13</v>
      </c>
      <c r="B137" s="62" t="s">
        <v>6</v>
      </c>
      <c r="C137" s="64">
        <f>348851+1760923</f>
        <v>2109774</v>
      </c>
      <c r="D137" s="64">
        <f>489498+2870257</f>
        <v>3359755</v>
      </c>
      <c r="E137" s="64">
        <f>310185+887601</f>
        <v>1197786</v>
      </c>
      <c r="F137" s="64">
        <f>195236+1596820</f>
        <v>1792056</v>
      </c>
      <c r="G137" s="64">
        <f>169013+751979</f>
        <v>920992</v>
      </c>
      <c r="H137" s="64">
        <f>176499+705239</f>
        <v>881738</v>
      </c>
      <c r="I137" s="75">
        <f>167113+735065-288688</f>
        <v>613490</v>
      </c>
      <c r="J137" s="75">
        <f>75694+358747</f>
        <v>434441</v>
      </c>
      <c r="K137" s="75">
        <f>225466+238213</f>
        <v>463679</v>
      </c>
      <c r="L137" s="75">
        <f>306256+584886</f>
        <v>891142</v>
      </c>
      <c r="M137" s="75">
        <f>177372+534567</f>
        <v>711939</v>
      </c>
      <c r="N137" s="75">
        <f>235737+487819</f>
        <v>723556</v>
      </c>
      <c r="O137" s="75">
        <f>295073+469417</f>
        <v>764490</v>
      </c>
      <c r="P137" s="75">
        <v>752506</v>
      </c>
      <c r="Q137" s="75">
        <f>175748+429598+3</f>
        <v>605349</v>
      </c>
      <c r="R137" s="75">
        <f>235450+397794</f>
        <v>633244</v>
      </c>
      <c r="S137" s="8">
        <f>167113+735065-288688</f>
        <v>613490</v>
      </c>
      <c r="T137" s="19">
        <f>177372+534567</f>
        <v>711939</v>
      </c>
      <c r="U137" s="19">
        <f>175750+429598+1</f>
        <v>605349</v>
      </c>
      <c r="V137" s="19">
        <f>486420+225288</f>
        <v>711708</v>
      </c>
      <c r="W137" s="19">
        <f>410580+196598</f>
        <v>607178</v>
      </c>
      <c r="X137" s="19">
        <v>817053</v>
      </c>
      <c r="Y137" s="19">
        <v>443017</v>
      </c>
    </row>
    <row r="138" spans="1:25" ht="15.95" customHeight="1" x14ac:dyDescent="0.15">
      <c r="A138" s="84">
        <v>14</v>
      </c>
      <c r="B138" s="62" t="s">
        <v>7</v>
      </c>
      <c r="C138" s="64">
        <f>C97+C136+C137</f>
        <v>236384695</v>
      </c>
      <c r="D138" s="64">
        <f>D97+D136+D137</f>
        <v>280464683</v>
      </c>
      <c r="E138" s="64">
        <f>E97+E136+E137</f>
        <v>283537265</v>
      </c>
      <c r="F138" s="64">
        <f>F97+F136+F137</f>
        <v>296104584</v>
      </c>
      <c r="G138" s="64">
        <f>G137+G129+G119+G109+G99</f>
        <v>18452794</v>
      </c>
      <c r="H138" s="64">
        <f>H137+H129+H119+H109+H99</f>
        <v>18687641</v>
      </c>
      <c r="I138" s="75">
        <f t="shared" ref="I138:N138" si="24">I136+I137+I129+I119+I109+I99</f>
        <v>17172662</v>
      </c>
      <c r="J138" s="75">
        <f t="shared" si="24"/>
        <v>17109914</v>
      </c>
      <c r="K138" s="75">
        <f t="shared" si="24"/>
        <v>16763639</v>
      </c>
      <c r="L138" s="75">
        <f t="shared" si="24"/>
        <v>16145434</v>
      </c>
      <c r="M138" s="75">
        <f t="shared" si="24"/>
        <v>16706133</v>
      </c>
      <c r="N138" s="75">
        <f t="shared" si="24"/>
        <v>17077665</v>
      </c>
      <c r="O138" s="75">
        <f>9557681+8674677</f>
        <v>18232358</v>
      </c>
      <c r="P138" s="75">
        <v>19755223</v>
      </c>
      <c r="Q138" s="75">
        <f>12582918+8405734+3</f>
        <v>20988655</v>
      </c>
      <c r="R138" s="75">
        <f>12681440+8494480</f>
        <v>21175920</v>
      </c>
      <c r="S138" s="19">
        <f>S136+S137+S129+S119+S109+S99</f>
        <v>17172662</v>
      </c>
      <c r="T138" s="19">
        <f>T136+T137+T129+T119+T109+T99</f>
        <v>16706133</v>
      </c>
      <c r="U138" s="19">
        <f t="shared" ref="U138" si="25">+U97+U136+U137</f>
        <v>20988655</v>
      </c>
      <c r="V138" s="19">
        <f t="shared" ref="V138" si="26">+V97+V136+V137</f>
        <v>20564174</v>
      </c>
      <c r="W138" s="19">
        <f t="shared" ref="W138" si="27">+W97+W136+W137</f>
        <v>21197834</v>
      </c>
      <c r="X138" s="19">
        <v>18777070</v>
      </c>
      <c r="Y138" s="19">
        <v>17670758</v>
      </c>
    </row>
    <row r="139" spans="1:25" ht="15.95" customHeight="1" x14ac:dyDescent="0.15">
      <c r="A139" s="84">
        <v>15</v>
      </c>
      <c r="B139" s="62" t="s">
        <v>5</v>
      </c>
      <c r="C139" s="144">
        <f>1041800-30941777</f>
        <v>-29899977</v>
      </c>
      <c r="D139" s="144">
        <f>1079729-36109113</f>
        <v>-35029384</v>
      </c>
      <c r="E139" s="144">
        <f>1201947-37070235</f>
        <v>-35868288</v>
      </c>
      <c r="F139" s="144">
        <f>1273624-37625371</f>
        <v>-36351747</v>
      </c>
      <c r="G139" s="64">
        <f>1352572+1001246</f>
        <v>2353818</v>
      </c>
      <c r="H139" s="64">
        <f>1219819+1008946</f>
        <v>2228765</v>
      </c>
      <c r="I139" s="73">
        <f>1057147+1034960</f>
        <v>2092107</v>
      </c>
      <c r="J139" s="75">
        <f>1068325+1027881</f>
        <v>2096206</v>
      </c>
      <c r="K139" s="75">
        <f>1124510+1018088</f>
        <v>2142598</v>
      </c>
      <c r="L139" s="75">
        <f>1024157+1040694</f>
        <v>2064851</v>
      </c>
      <c r="M139" s="75">
        <f>939461+1023245</f>
        <v>1962706</v>
      </c>
      <c r="N139" s="75">
        <f>1009642+801824</f>
        <v>1811466</v>
      </c>
      <c r="O139" s="75">
        <f>938122+808294</f>
        <v>1746416</v>
      </c>
      <c r="P139" s="75">
        <v>2289865</v>
      </c>
      <c r="Q139" s="75">
        <f>1502525+679170</f>
        <v>2181695</v>
      </c>
      <c r="R139" s="75">
        <f>1562361+634130</f>
        <v>2196491</v>
      </c>
      <c r="S139" s="8">
        <f>1057147+1034960</f>
        <v>2092107</v>
      </c>
      <c r="T139" s="19">
        <f>939461+1023245</f>
        <v>1962706</v>
      </c>
      <c r="U139" s="19">
        <f>1502525+679170</f>
        <v>2181695</v>
      </c>
      <c r="V139" s="19">
        <f>554464+1657885</f>
        <v>2212349</v>
      </c>
      <c r="W139" s="19">
        <f>752130+1810978</f>
        <v>2563108</v>
      </c>
      <c r="X139" s="19">
        <v>2855356</v>
      </c>
      <c r="Y139" s="19">
        <v>2510230</v>
      </c>
    </row>
    <row r="140" spans="1:25" ht="15.95" customHeight="1" x14ac:dyDescent="0.15">
      <c r="A140" s="84">
        <v>16</v>
      </c>
      <c r="B140" s="62" t="s">
        <v>15</v>
      </c>
      <c r="C140" s="64">
        <f t="shared" ref="C140:R140" si="28">C139+C138</f>
        <v>206484718</v>
      </c>
      <c r="D140" s="64">
        <f t="shared" si="28"/>
        <v>245435299</v>
      </c>
      <c r="E140" s="64">
        <f t="shared" si="28"/>
        <v>247668977</v>
      </c>
      <c r="F140" s="64">
        <f t="shared" si="28"/>
        <v>259752837</v>
      </c>
      <c r="G140" s="64">
        <f t="shared" si="28"/>
        <v>20806612</v>
      </c>
      <c r="H140" s="64">
        <f t="shared" si="28"/>
        <v>20916406</v>
      </c>
      <c r="I140" s="137">
        <f t="shared" si="28"/>
        <v>19264769</v>
      </c>
      <c r="J140" s="137">
        <f t="shared" si="28"/>
        <v>19206120</v>
      </c>
      <c r="K140" s="137">
        <f t="shared" si="28"/>
        <v>18906237</v>
      </c>
      <c r="L140" s="89">
        <f t="shared" si="28"/>
        <v>18210285</v>
      </c>
      <c r="M140" s="89">
        <f t="shared" si="28"/>
        <v>18668839</v>
      </c>
      <c r="N140" s="89">
        <f t="shared" si="28"/>
        <v>18889131</v>
      </c>
      <c r="O140" s="89">
        <f t="shared" si="28"/>
        <v>19978774</v>
      </c>
      <c r="P140" s="89">
        <f t="shared" si="28"/>
        <v>22045088</v>
      </c>
      <c r="Q140" s="89">
        <f t="shared" si="28"/>
        <v>23170350</v>
      </c>
      <c r="R140" s="89">
        <f t="shared" si="28"/>
        <v>23372411</v>
      </c>
      <c r="S140" s="19">
        <f>S139+S138</f>
        <v>19264769</v>
      </c>
      <c r="T140" s="19">
        <f>T139+T138</f>
        <v>18668839</v>
      </c>
      <c r="U140" s="19">
        <f t="shared" ref="U140" si="29">U139+U138</f>
        <v>23170350</v>
      </c>
      <c r="V140" s="19">
        <f t="shared" ref="V140" si="30">V139+V138</f>
        <v>22776523</v>
      </c>
      <c r="W140" s="19">
        <f t="shared" ref="W140" si="31">W139+W138</f>
        <v>23760942</v>
      </c>
      <c r="X140" s="19">
        <v>21632426</v>
      </c>
      <c r="Y140" s="19">
        <v>20180988</v>
      </c>
    </row>
    <row r="141" spans="1:25" ht="15.95" customHeight="1" x14ac:dyDescent="0.15">
      <c r="A141" s="84"/>
      <c r="B141" s="62"/>
      <c r="C141" s="130"/>
      <c r="D141" s="130"/>
      <c r="E141" s="130"/>
      <c r="F141" s="130"/>
      <c r="G141" s="130"/>
      <c r="H141" s="130"/>
      <c r="I141" s="137"/>
      <c r="J141" s="137"/>
      <c r="K141" s="137"/>
      <c r="L141" s="89"/>
      <c r="M141" s="89"/>
      <c r="N141" s="89"/>
      <c r="O141" s="89"/>
      <c r="P141" s="89"/>
      <c r="Q141" s="89"/>
      <c r="R141" s="89"/>
      <c r="T141" s="50"/>
    </row>
    <row r="142" spans="1:25" ht="12" customHeight="1" x14ac:dyDescent="0.15">
      <c r="A142" s="48"/>
      <c r="B142" s="77" t="s">
        <v>24</v>
      </c>
      <c r="C142" s="145"/>
      <c r="D142" s="145"/>
      <c r="E142" s="145"/>
      <c r="F142" s="145"/>
      <c r="G142" s="83"/>
      <c r="H142" s="83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17"/>
      <c r="T142" s="50"/>
      <c r="U142" s="46"/>
    </row>
    <row r="143" spans="1:25" ht="12" customHeight="1" x14ac:dyDescent="0.15">
      <c r="A143" s="48"/>
      <c r="B143" s="28" t="s">
        <v>69</v>
      </c>
      <c r="C143" s="100"/>
      <c r="D143" s="100"/>
      <c r="E143" s="100"/>
      <c r="F143" s="101"/>
      <c r="G143" s="101"/>
      <c r="H143" s="102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T143" s="50"/>
      <c r="U143" s="17"/>
    </row>
    <row r="144" spans="1:25" ht="12" customHeight="1" x14ac:dyDescent="0.15">
      <c r="A144" s="48"/>
      <c r="B144" s="28" t="s">
        <v>70</v>
      </c>
      <c r="C144" s="100"/>
      <c r="D144" s="100"/>
      <c r="E144" s="100"/>
      <c r="F144" s="101"/>
      <c r="G144" s="101"/>
      <c r="H144" s="102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T144" s="50"/>
    </row>
    <row r="145" spans="1:148" ht="12" hidden="1" customHeight="1" x14ac:dyDescent="0.15">
      <c r="A145" s="48"/>
      <c r="B145" s="28" t="s">
        <v>65</v>
      </c>
      <c r="C145" s="100"/>
      <c r="D145" s="100"/>
      <c r="E145" s="100"/>
      <c r="F145" s="101"/>
      <c r="G145" s="101"/>
      <c r="H145" s="102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T145" s="50"/>
    </row>
    <row r="146" spans="1:148" ht="12" hidden="1" customHeight="1" x14ac:dyDescent="0.15">
      <c r="A146" s="48"/>
      <c r="B146" s="28" t="s">
        <v>72</v>
      </c>
      <c r="C146" s="100"/>
      <c r="D146" s="100"/>
      <c r="E146" s="100"/>
      <c r="F146" s="101"/>
      <c r="G146" s="101"/>
      <c r="H146" s="102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17"/>
      <c r="T146" s="50"/>
    </row>
    <row r="147" spans="1:148" ht="15.95" hidden="1" customHeight="1" x14ac:dyDescent="0.15">
      <c r="A147" s="48"/>
      <c r="B147" s="28" t="s">
        <v>76</v>
      </c>
      <c r="C147" s="100"/>
      <c r="D147" s="100"/>
      <c r="E147" s="100"/>
      <c r="F147" s="101"/>
      <c r="G147" s="101"/>
      <c r="H147" s="102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T147" s="50"/>
    </row>
    <row r="148" spans="1:148" s="47" customFormat="1" ht="12" hidden="1" customHeight="1" x14ac:dyDescent="0.2">
      <c r="A148" s="48"/>
      <c r="B148" s="28" t="s">
        <v>77</v>
      </c>
      <c r="C148" s="100"/>
      <c r="D148" s="100"/>
      <c r="E148" s="100"/>
      <c r="F148" s="101"/>
      <c r="G148" s="101"/>
      <c r="H148" s="102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3"/>
      <c r="T148" s="146"/>
      <c r="U148" s="17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  <c r="CH148" s="146"/>
      <c r="CI148" s="146"/>
      <c r="CJ148" s="146"/>
      <c r="CK148" s="146"/>
      <c r="CL148" s="146"/>
      <c r="CM148" s="146"/>
      <c r="CN148" s="146"/>
      <c r="CO148" s="146"/>
      <c r="CP148" s="146"/>
      <c r="CQ148" s="146"/>
      <c r="CR148" s="146"/>
      <c r="CS148" s="146"/>
      <c r="CT148" s="146"/>
      <c r="CU148" s="146"/>
      <c r="CV148" s="146"/>
      <c r="CW148" s="146"/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6"/>
      <c r="DT148" s="146"/>
      <c r="DU148" s="146"/>
      <c r="DV148" s="146"/>
      <c r="DW148" s="146"/>
      <c r="DX148" s="146"/>
      <c r="DY148" s="146"/>
      <c r="DZ148" s="146"/>
      <c r="EA148" s="146"/>
      <c r="EB148" s="146"/>
      <c r="EC148" s="146"/>
      <c r="ED148" s="146"/>
      <c r="EE148" s="146"/>
      <c r="EF148" s="146"/>
      <c r="EG148" s="146"/>
      <c r="EH148" s="146"/>
      <c r="EI148" s="146"/>
      <c r="EJ148" s="146"/>
      <c r="EK148" s="146"/>
      <c r="EL148" s="146"/>
      <c r="EM148" s="146"/>
      <c r="EN148" s="146"/>
      <c r="EO148" s="146"/>
      <c r="EP148" s="146"/>
      <c r="EQ148" s="146"/>
      <c r="ER148" s="146"/>
    </row>
    <row r="149" spans="1:148" ht="15.95" hidden="1" customHeight="1" x14ac:dyDescent="0.15">
      <c r="A149" s="84"/>
      <c r="B149" s="28" t="s">
        <v>79</v>
      </c>
      <c r="C149" s="66"/>
      <c r="D149" s="66"/>
      <c r="E149" s="66"/>
      <c r="F149" s="66"/>
      <c r="G149" s="130"/>
      <c r="H149" s="130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T149" s="50"/>
    </row>
    <row r="150" spans="1:148" ht="15.95" customHeight="1" x14ac:dyDescent="0.15">
      <c r="A150" s="48"/>
      <c r="B150" s="50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T150" s="50"/>
    </row>
    <row r="151" spans="1:148" s="50" customFormat="1" ht="15.95" customHeight="1" x14ac:dyDescent="0.15">
      <c r="A151" s="48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3"/>
      <c r="U151" s="3"/>
    </row>
    <row r="152" spans="1:148" s="50" customFormat="1" ht="15.95" customHeight="1" x14ac:dyDescent="0.15">
      <c r="A152" s="48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3"/>
      <c r="U152" s="3"/>
    </row>
    <row r="153" spans="1:148" s="50" customFormat="1" ht="15.95" customHeight="1" x14ac:dyDescent="0.15">
      <c r="A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3"/>
      <c r="U153" s="3"/>
    </row>
    <row r="154" spans="1:148" s="50" customFormat="1" ht="15.95" customHeight="1" x14ac:dyDescent="0.15">
      <c r="A154" s="48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3"/>
      <c r="U154" s="3"/>
    </row>
    <row r="155" spans="1:148" s="50" customFormat="1" ht="15.95" customHeight="1" x14ac:dyDescent="0.15">
      <c r="A155" s="48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3"/>
      <c r="U155" s="3"/>
    </row>
    <row r="156" spans="1:148" s="50" customFormat="1" ht="15.95" customHeight="1" x14ac:dyDescent="0.15">
      <c r="A156" s="4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3"/>
      <c r="U156" s="3"/>
    </row>
    <row r="157" spans="1:148" s="50" customFormat="1" ht="15.95" customHeight="1" x14ac:dyDescent="0.15">
      <c r="A157" s="48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3"/>
      <c r="U157" s="3"/>
    </row>
    <row r="158" spans="1:148" s="50" customFormat="1" ht="15.95" customHeight="1" x14ac:dyDescent="0.15">
      <c r="A158" s="48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3"/>
      <c r="U158" s="3"/>
    </row>
    <row r="159" spans="1:148" s="50" customFormat="1" ht="15.95" customHeight="1" x14ac:dyDescent="0.15">
      <c r="A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3"/>
      <c r="U159" s="3"/>
    </row>
    <row r="160" spans="1:148" s="50" customFormat="1" ht="15.95" customHeight="1" x14ac:dyDescent="0.15">
      <c r="A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3"/>
      <c r="U160" s="3"/>
    </row>
    <row r="161" spans="1:21" s="50" customFormat="1" ht="15.95" customHeight="1" x14ac:dyDescent="0.15">
      <c r="A161" s="48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3"/>
      <c r="U161" s="3"/>
    </row>
    <row r="162" spans="1:21" s="50" customFormat="1" ht="15.95" customHeight="1" x14ac:dyDescent="0.15">
      <c r="A162" s="4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3"/>
      <c r="U162" s="3"/>
    </row>
    <row r="163" spans="1:21" s="50" customFormat="1" ht="15.95" customHeight="1" x14ac:dyDescent="0.15">
      <c r="A163" s="4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3"/>
      <c r="U163" s="3"/>
    </row>
    <row r="164" spans="1:21" s="50" customFormat="1" ht="15.95" customHeight="1" x14ac:dyDescent="0.15">
      <c r="A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3"/>
      <c r="U164" s="3"/>
    </row>
    <row r="165" spans="1:21" s="50" customFormat="1" ht="15.95" customHeight="1" x14ac:dyDescent="0.15">
      <c r="A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3"/>
      <c r="U165" s="3"/>
    </row>
    <row r="166" spans="1:21" s="50" customFormat="1" ht="15.95" customHeight="1" x14ac:dyDescent="0.15">
      <c r="A166" s="48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3"/>
      <c r="U166" s="3"/>
    </row>
    <row r="167" spans="1:21" s="50" customFormat="1" ht="15.95" customHeight="1" x14ac:dyDescent="0.15">
      <c r="A167" s="48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3"/>
      <c r="U167" s="3"/>
    </row>
    <row r="168" spans="1:21" s="50" customFormat="1" ht="15.95" customHeight="1" x14ac:dyDescent="0.15">
      <c r="A168" s="48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3"/>
      <c r="U168" s="3"/>
    </row>
    <row r="169" spans="1:21" s="50" customFormat="1" ht="15.95" customHeight="1" x14ac:dyDescent="0.15">
      <c r="A169" s="48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3"/>
      <c r="U169" s="3"/>
    </row>
    <row r="170" spans="1:21" s="50" customFormat="1" ht="15.95" customHeight="1" x14ac:dyDescent="0.15">
      <c r="A170" s="48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3"/>
      <c r="U170" s="3"/>
    </row>
    <row r="171" spans="1:21" s="50" customFormat="1" ht="15.95" customHeight="1" x14ac:dyDescent="0.15">
      <c r="A171" s="48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3"/>
      <c r="U171" s="3"/>
    </row>
    <row r="172" spans="1:21" s="50" customFormat="1" ht="15.95" customHeight="1" x14ac:dyDescent="0.15">
      <c r="A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U172" s="3"/>
    </row>
    <row r="173" spans="1:21" s="50" customFormat="1" ht="15.95" customHeight="1" x14ac:dyDescent="0.15">
      <c r="A173" s="48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U173" s="3"/>
    </row>
    <row r="174" spans="1:21" s="50" customFormat="1" ht="15.95" customHeight="1" x14ac:dyDescent="0.15">
      <c r="A174" s="48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U174" s="3"/>
    </row>
    <row r="175" spans="1:21" s="50" customFormat="1" ht="15.95" customHeight="1" x14ac:dyDescent="0.15">
      <c r="A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U175" s="3"/>
    </row>
    <row r="176" spans="1:21" s="50" customFormat="1" ht="15.95" customHeight="1" x14ac:dyDescent="0.15">
      <c r="A176" s="48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U176" s="3"/>
    </row>
    <row r="177" spans="1:21" s="50" customFormat="1" ht="15.95" customHeight="1" x14ac:dyDescent="0.15">
      <c r="A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U177" s="3"/>
    </row>
    <row r="178" spans="1:21" s="50" customFormat="1" ht="15.95" customHeight="1" x14ac:dyDescent="0.15">
      <c r="A178" s="48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3"/>
      <c r="U178" s="3"/>
    </row>
    <row r="179" spans="1:21" s="50" customFormat="1" ht="15.95" customHeight="1" x14ac:dyDescent="0.15">
      <c r="A179" s="48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3"/>
      <c r="U179" s="3"/>
    </row>
    <row r="180" spans="1:21" s="50" customFormat="1" ht="15.95" customHeight="1" x14ac:dyDescent="0.15">
      <c r="A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3"/>
      <c r="U180" s="3"/>
    </row>
    <row r="181" spans="1:21" s="50" customFormat="1" ht="15.95" customHeight="1" x14ac:dyDescent="0.15">
      <c r="A181" s="48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3"/>
      <c r="U181" s="3"/>
    </row>
    <row r="182" spans="1:21" s="50" customFormat="1" ht="15.95" customHeight="1" x14ac:dyDescent="0.15">
      <c r="A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3"/>
      <c r="U182" s="3"/>
    </row>
    <row r="183" spans="1:21" s="50" customFormat="1" ht="15.95" customHeight="1" x14ac:dyDescent="0.15">
      <c r="A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3"/>
      <c r="U183" s="3"/>
    </row>
    <row r="184" spans="1:21" s="50" customFormat="1" ht="15.95" customHeight="1" x14ac:dyDescent="0.15">
      <c r="A184" s="48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3"/>
      <c r="U184" s="3"/>
    </row>
    <row r="185" spans="1:21" s="50" customFormat="1" ht="15.95" customHeight="1" x14ac:dyDescent="0.15">
      <c r="A185" s="48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3"/>
      <c r="U185" s="3"/>
    </row>
    <row r="186" spans="1:21" s="50" customFormat="1" ht="15.95" customHeight="1" x14ac:dyDescent="0.15">
      <c r="A186" s="48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3"/>
      <c r="U186" s="3"/>
    </row>
    <row r="187" spans="1:21" s="50" customFormat="1" ht="15.95" customHeight="1" x14ac:dyDescent="0.15">
      <c r="A187" s="48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3"/>
      <c r="U187" s="3"/>
    </row>
    <row r="188" spans="1:21" s="50" customFormat="1" ht="15.95" customHeight="1" x14ac:dyDescent="0.15">
      <c r="A188" s="48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3"/>
      <c r="U188" s="3"/>
    </row>
    <row r="189" spans="1:21" s="50" customFormat="1" ht="15.95" customHeight="1" x14ac:dyDescent="0.15">
      <c r="A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3"/>
      <c r="U189" s="3"/>
    </row>
    <row r="190" spans="1:21" s="50" customFormat="1" ht="15.95" customHeight="1" x14ac:dyDescent="0.15">
      <c r="A190" s="48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3"/>
      <c r="U190" s="3"/>
    </row>
    <row r="191" spans="1:21" s="50" customFormat="1" ht="15.95" customHeight="1" x14ac:dyDescent="0.15">
      <c r="A191" s="48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3"/>
      <c r="U191" s="3"/>
    </row>
    <row r="192" spans="1:21" s="50" customFormat="1" ht="15.95" customHeight="1" x14ac:dyDescent="0.15">
      <c r="A192" s="48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3"/>
      <c r="U192" s="3"/>
    </row>
  </sheetData>
  <mergeCells count="3">
    <mergeCell ref="B3:L3"/>
    <mergeCell ref="B92:L92"/>
    <mergeCell ref="B1:H1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2020-2025</vt:lpstr>
      <vt:lpstr>2007-2019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Assets &amp;amp; Liabilities - Category A-Retail &amp;amp; Non-Retail Banks 2007-2016Q1</dc:title>
  <dc:creator>Development Policy</dc:creator>
  <cp:lastModifiedBy>David Forbes</cp:lastModifiedBy>
  <cp:lastPrinted>2019-06-11T19:54:33Z</cp:lastPrinted>
  <dcterms:created xsi:type="dcterms:W3CDTF">2009-02-11T18:05:35Z</dcterms:created>
  <dcterms:modified xsi:type="dcterms:W3CDTF">2026-07-27T19:55:23Z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Language">
    <vt:i4>1033</vt:i4>
  </property>
  <property fmtid="{D5CDD505-2E9C-101B-9397-08002B2CF9AE}" pid="3" name="EktQuickLink">
    <vt:lpwstr>DownloadAsset.aspx?id=2147485213</vt:lpwstr>
  </property>
  <property fmtid="{D5CDD505-2E9C-101B-9397-08002B2CF9AE}" pid="4" name="EktContentType">
    <vt:i4>101</vt:i4>
  </property>
  <property fmtid="{D5CDD505-2E9C-101B-9397-08002B2CF9AE}" pid="5" name="EktContentSubType">
    <vt:i4>0</vt:i4>
  </property>
  <property fmtid="{D5CDD505-2E9C-101B-9397-08002B2CF9AE}" pid="6" name="EktFolderName">
    <vt:lpwstr/>
  </property>
  <property fmtid="{D5CDD505-2E9C-101B-9397-08002B2CF9AE}" pid="7" name="EktCmsPath">
    <vt:lpwstr/>
  </property>
  <property fmtid="{D5CDD505-2E9C-101B-9397-08002B2CF9AE}" pid="8" name="EktExpiryType">
    <vt:i4>1</vt:i4>
  </property>
  <property fmtid="{D5CDD505-2E9C-101B-9397-08002B2CF9AE}" pid="9" name="EktDateCreated">
    <vt:filetime>2016-06-22T19:14:54Z</vt:filetime>
  </property>
  <property fmtid="{D5CDD505-2E9C-101B-9397-08002B2CF9AE}" pid="10" name="EktDateModified">
    <vt:filetime>2016-06-22T19:14:55Z</vt:filetime>
  </property>
  <property fmtid="{D5CDD505-2E9C-101B-9397-08002B2CF9AE}" pid="11" name="EktTaxCategory">
    <vt:lpwstr/>
  </property>
  <property fmtid="{D5CDD505-2E9C-101B-9397-08002B2CF9AE}" pid="12" name="EktDisabledTaxCategory">
    <vt:lpwstr/>
  </property>
  <property fmtid="{D5CDD505-2E9C-101B-9397-08002B2CF9AE}" pid="13" name="EktCmsSize">
    <vt:i4>300032</vt:i4>
  </property>
  <property fmtid="{D5CDD505-2E9C-101B-9397-08002B2CF9AE}" pid="14" name="EktSearchable">
    <vt:i4>1</vt:i4>
  </property>
  <property fmtid="{D5CDD505-2E9C-101B-9397-08002B2CF9AE}" pid="15" name="EktEDescription">
    <vt:lpwstr>&amp;lt;p&amp;gt;2007-2012  2013-2016  TOTAL ASSETS  TOTAL RESIDENT DEPOSITS    TOTAL NON-RESIDENT DEPOSITS  Central Government  Other Sectors (Households &amp;amp;amp; NPI's)  SHAREHOLDERS EQUITY  OTHER LIABILITIES  TOTAL LIABILITIES  TRANSFERABLE DEPOSITS (Demand) </vt:lpwstr>
  </property>
  <property fmtid="{D5CDD505-2E9C-101B-9397-08002B2CF9AE}" pid="16" name="EktStatistics_and_Regulated_Entities">
    <vt:lpwstr>Banks Class A Statistics Survey Survey Results </vt:lpwstr>
  </property>
</Properties>
</file>