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olicy &amp; Research\Statistics\DBA Domestic Banking Activity -DBA\DBA - Website - Statement of Assets &amp; Liabilities\Statement of Assets &amp; Liab - A Retail Banks\2019\"/>
    </mc:Choice>
  </mc:AlternateContent>
  <xr:revisionPtr revIDLastSave="0" documentId="13_ncr:1_{D65023B8-83E3-4174-BAC8-6E512FE41555}" xr6:coauthVersionLast="45" xr6:coauthVersionMax="45" xr10:uidLastSave="{00000000-0000-0000-0000-000000000000}"/>
  <workbookProtection workbookAlgorithmName="SHA-512" workbookHashValue="+t1OBtHoUu8+NsHaWNLyBJlQuwJaiUo6gnmmzgBDqPBwYmv4GVxGmmChtkgwTdTsFQs0xe6StsgqerwNuwbBTA==" workbookSaltValue="Lq+pIQJa0B06K0u5XAA9Fw==" workbookSpinCount="100000" lockStructure="1"/>
  <bookViews>
    <workbookView xWindow="-120" yWindow="480" windowWidth="24240" windowHeight="13140" xr2:uid="{00000000-000D-0000-FFFF-FFFF00000000}"/>
  </bookViews>
  <sheets>
    <sheet name="2015 - 2019" sheetId="1" r:id="rId1"/>
    <sheet name="2007 - 2014" sheetId="2" r:id="rId2"/>
  </sheets>
  <definedNames>
    <definedName name="_xlnm.Print_Area" localSheetId="0">'2015 - 2019'!$A$1:$O$139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8" i="1" l="1"/>
  <c r="Q78" i="1"/>
  <c r="Q128" i="1" l="1"/>
  <c r="Q95" i="1" s="1"/>
  <c r="Q108" i="1"/>
  <c r="Q98" i="1"/>
  <c r="Q80" i="1"/>
  <c r="Q74" i="1"/>
  <c r="Q68" i="1"/>
  <c r="Q63" i="1" s="1"/>
  <c r="Q59" i="1"/>
  <c r="Q46" i="1"/>
  <c r="Q39" i="1"/>
  <c r="Q31" i="1"/>
  <c r="Q22" i="1"/>
  <c r="Q14" i="1"/>
  <c r="Q9" i="1"/>
  <c r="Q21" i="1" l="1"/>
  <c r="Q94" i="1"/>
  <c r="Q96" i="1" s="1"/>
  <c r="Q137" i="1"/>
  <c r="Q38" i="1"/>
  <c r="Q8" i="1"/>
  <c r="Q56" i="1"/>
  <c r="Q55" i="1" s="1"/>
  <c r="P113" i="1"/>
  <c r="Q139" i="1" l="1"/>
  <c r="Q89" i="1"/>
  <c r="O72" i="1"/>
  <c r="P123" i="1" l="1"/>
  <c r="P80" i="1"/>
  <c r="P74" i="1" l="1"/>
  <c r="P68" i="1"/>
  <c r="P63" i="1" s="1"/>
  <c r="P59" i="1"/>
  <c r="P39" i="1"/>
  <c r="P128" i="1"/>
  <c r="P95" i="1" s="1"/>
  <c r="P118" i="1"/>
  <c r="P108" i="1"/>
  <c r="P98" i="1"/>
  <c r="P46" i="1"/>
  <c r="P31" i="1"/>
  <c r="P22" i="1"/>
  <c r="P14" i="1"/>
  <c r="P9" i="1"/>
  <c r="P94" i="1" l="1"/>
  <c r="P56" i="1"/>
  <c r="P55" i="1" s="1"/>
  <c r="P96" i="1"/>
  <c r="P21" i="1"/>
  <c r="P8" i="1"/>
  <c r="P137" i="1"/>
  <c r="P139" i="1" s="1"/>
  <c r="P38" i="1"/>
  <c r="O123" i="1"/>
  <c r="O118" i="1" s="1"/>
  <c r="O103" i="1"/>
  <c r="O98" i="1" s="1"/>
  <c r="O128" i="1"/>
  <c r="O95" i="1" s="1"/>
  <c r="O113" i="1"/>
  <c r="O108" i="1"/>
  <c r="O56" i="1"/>
  <c r="O55" i="1" s="1"/>
  <c r="O46" i="1"/>
  <c r="O39" i="1"/>
  <c r="O31" i="1"/>
  <c r="O22" i="1"/>
  <c r="O14" i="1"/>
  <c r="O9" i="1"/>
  <c r="O94" i="1" l="1"/>
  <c r="O21" i="1"/>
  <c r="P89" i="1"/>
  <c r="O137" i="1"/>
  <c r="O139" i="1" s="1"/>
  <c r="O96" i="1"/>
  <c r="O38" i="1"/>
  <c r="O89" i="1" s="1"/>
  <c r="K135" i="2"/>
  <c r="K137" i="2" s="1"/>
  <c r="K121" i="2"/>
  <c r="K101" i="2"/>
  <c r="K76" i="2"/>
  <c r="K72" i="2"/>
  <c r="K66" i="2"/>
  <c r="K62" i="2"/>
  <c r="K60" i="2"/>
  <c r="K57" i="2"/>
  <c r="K46" i="2"/>
  <c r="K39" i="2"/>
  <c r="K22" i="2"/>
  <c r="K21" i="2" s="1"/>
  <c r="K14" i="2"/>
  <c r="N123" i="1"/>
  <c r="N118" i="1" s="1"/>
  <c r="N113" i="1"/>
  <c r="N108" i="1" s="1"/>
  <c r="N103" i="1"/>
  <c r="N98" i="1" s="1"/>
  <c r="N78" i="1"/>
  <c r="N74" i="1" s="1"/>
  <c r="M63" i="1"/>
  <c r="N9" i="1"/>
  <c r="N14" i="1"/>
  <c r="N22" i="1"/>
  <c r="N31" i="1"/>
  <c r="N39" i="1"/>
  <c r="N46" i="1"/>
  <c r="N64" i="1"/>
  <c r="N68" i="1"/>
  <c r="N80" i="1"/>
  <c r="N128" i="1"/>
  <c r="N95" i="1" s="1"/>
  <c r="M123" i="1"/>
  <c r="M113" i="1"/>
  <c r="M103" i="1"/>
  <c r="M74" i="1"/>
  <c r="M137" i="1"/>
  <c r="L123" i="1"/>
  <c r="L118" i="1" s="1"/>
  <c r="L113" i="1"/>
  <c r="L108" i="1" s="1"/>
  <c r="L103" i="1"/>
  <c r="L98" i="1" s="1"/>
  <c r="L78" i="1"/>
  <c r="L74" i="1" s="1"/>
  <c r="L22" i="1"/>
  <c r="K9" i="1"/>
  <c r="L9" i="1"/>
  <c r="L68" i="1"/>
  <c r="L63" i="1" s="1"/>
  <c r="L56" i="1" s="1"/>
  <c r="L128" i="1"/>
  <c r="L95" i="1" s="1"/>
  <c r="L80" i="1"/>
  <c r="L46" i="1"/>
  <c r="L39" i="1"/>
  <c r="L31" i="1"/>
  <c r="L14" i="1"/>
  <c r="K103" i="1"/>
  <c r="K98" i="1" s="1"/>
  <c r="K78" i="1"/>
  <c r="K74" i="1" s="1"/>
  <c r="K64" i="1"/>
  <c r="K123" i="1"/>
  <c r="K118" i="1" s="1"/>
  <c r="K128" i="1"/>
  <c r="K95" i="1" s="1"/>
  <c r="K113" i="1"/>
  <c r="K108" i="1" s="1"/>
  <c r="K68" i="1"/>
  <c r="K80" i="1"/>
  <c r="K46" i="1"/>
  <c r="K39" i="1"/>
  <c r="K31" i="1"/>
  <c r="K22" i="1"/>
  <c r="K14" i="1"/>
  <c r="J121" i="2"/>
  <c r="J101" i="2"/>
  <c r="J96" i="2"/>
  <c r="J135" i="2" s="1"/>
  <c r="J137" i="2" s="1"/>
  <c r="J94" i="2"/>
  <c r="J66" i="2"/>
  <c r="J62" i="2"/>
  <c r="J61" i="2" s="1"/>
  <c r="J57" i="2"/>
  <c r="J55" i="2"/>
  <c r="J46" i="2"/>
  <c r="J14" i="2"/>
  <c r="J10" i="2"/>
  <c r="J123" i="1"/>
  <c r="J118" i="1" s="1"/>
  <c r="J113" i="1"/>
  <c r="J108" i="1" s="1"/>
  <c r="J103" i="1"/>
  <c r="J98" i="1" s="1"/>
  <c r="J78" i="1"/>
  <c r="J74" i="1" s="1"/>
  <c r="J10" i="1"/>
  <c r="J9" i="1" s="1"/>
  <c r="J59" i="1"/>
  <c r="J22" i="1"/>
  <c r="J128" i="1"/>
  <c r="J95" i="1" s="1"/>
  <c r="J80" i="1"/>
  <c r="J68" i="1"/>
  <c r="J64" i="1"/>
  <c r="J63" i="1" s="1"/>
  <c r="J46" i="1"/>
  <c r="J39" i="1"/>
  <c r="J31" i="1"/>
  <c r="J14" i="1"/>
  <c r="I103" i="1"/>
  <c r="I75" i="1"/>
  <c r="I74" i="1" s="1"/>
  <c r="I123" i="1"/>
  <c r="I118" i="1" s="1"/>
  <c r="I113" i="1"/>
  <c r="I108" i="1" s="1"/>
  <c r="C59" i="1"/>
  <c r="D59" i="1"/>
  <c r="E59" i="1"/>
  <c r="F59" i="1"/>
  <c r="I59" i="1"/>
  <c r="E46" i="1"/>
  <c r="F46" i="1"/>
  <c r="G46" i="1"/>
  <c r="H46" i="1"/>
  <c r="I46" i="1"/>
  <c r="I128" i="1"/>
  <c r="I95" i="1" s="1"/>
  <c r="I98" i="1"/>
  <c r="I80" i="1"/>
  <c r="I68" i="1"/>
  <c r="I64" i="1"/>
  <c r="I63" i="1" s="1"/>
  <c r="I56" i="1" s="1"/>
  <c r="I55" i="1" s="1"/>
  <c r="I39" i="1"/>
  <c r="I31" i="1"/>
  <c r="I22" i="1"/>
  <c r="I14" i="1"/>
  <c r="I9" i="1"/>
  <c r="H123" i="1"/>
  <c r="H118" i="1" s="1"/>
  <c r="H103" i="1"/>
  <c r="H98" i="1" s="1"/>
  <c r="H78" i="1"/>
  <c r="H74" i="1" s="1"/>
  <c r="H113" i="1"/>
  <c r="H108" i="1" s="1"/>
  <c r="G59" i="1"/>
  <c r="D8" i="2"/>
  <c r="E8" i="2"/>
  <c r="E87" i="2" s="1"/>
  <c r="F8" i="2"/>
  <c r="F87" i="2" s="1"/>
  <c r="C9" i="2"/>
  <c r="C8" i="2"/>
  <c r="I14" i="2"/>
  <c r="C21" i="2"/>
  <c r="E21" i="2"/>
  <c r="F21" i="2"/>
  <c r="D22" i="2"/>
  <c r="D21" i="2" s="1"/>
  <c r="D87" i="2" s="1"/>
  <c r="E53" i="2"/>
  <c r="F53" i="2"/>
  <c r="I55" i="2"/>
  <c r="C62" i="2"/>
  <c r="D62" i="2"/>
  <c r="D61" i="2"/>
  <c r="E62" i="2"/>
  <c r="E61" i="2" s="1"/>
  <c r="F62" i="2"/>
  <c r="G62" i="2"/>
  <c r="H62" i="2"/>
  <c r="H61" i="2" s="1"/>
  <c r="I62" i="2"/>
  <c r="C66" i="2"/>
  <c r="C61" i="2" s="1"/>
  <c r="D66" i="2"/>
  <c r="E66" i="2"/>
  <c r="F66" i="2"/>
  <c r="F61" i="2" s="1"/>
  <c r="G66" i="2"/>
  <c r="H66" i="2"/>
  <c r="I66" i="2"/>
  <c r="I61" i="2"/>
  <c r="I54" i="2" s="1"/>
  <c r="I53" i="2" s="1"/>
  <c r="I87" i="2" s="1"/>
  <c r="D72" i="2"/>
  <c r="C76" i="2"/>
  <c r="C72" i="2"/>
  <c r="E76" i="2"/>
  <c r="E72" i="2" s="1"/>
  <c r="F76" i="2"/>
  <c r="F72" i="2" s="1"/>
  <c r="G76" i="2"/>
  <c r="G72" i="2" s="1"/>
  <c r="H76" i="2"/>
  <c r="H72" i="2" s="1"/>
  <c r="G87" i="2"/>
  <c r="H87" i="2"/>
  <c r="I92" i="2"/>
  <c r="I94" i="2" s="1"/>
  <c r="C94" i="2"/>
  <c r="D94" i="2"/>
  <c r="E94" i="2"/>
  <c r="F94" i="2"/>
  <c r="I96" i="2"/>
  <c r="I135" i="2" s="1"/>
  <c r="I137" i="2" s="1"/>
  <c r="I97" i="2"/>
  <c r="C101" i="2"/>
  <c r="D101" i="2"/>
  <c r="E101" i="2"/>
  <c r="F101" i="2"/>
  <c r="G101" i="2"/>
  <c r="H101" i="2"/>
  <c r="I102" i="2"/>
  <c r="E103" i="2"/>
  <c r="G103" i="2"/>
  <c r="C111" i="2"/>
  <c r="D111" i="2"/>
  <c r="E111" i="2"/>
  <c r="F111" i="2"/>
  <c r="G111" i="2"/>
  <c r="H111" i="2"/>
  <c r="I111" i="2"/>
  <c r="E113" i="2"/>
  <c r="F113" i="2"/>
  <c r="G113" i="2"/>
  <c r="D121" i="2"/>
  <c r="E121" i="2"/>
  <c r="F121" i="2"/>
  <c r="G121" i="2"/>
  <c r="H121" i="2"/>
  <c r="I121" i="2"/>
  <c r="C123" i="2"/>
  <c r="E123" i="2"/>
  <c r="G123" i="2"/>
  <c r="H134" i="2"/>
  <c r="H135" i="2"/>
  <c r="H137" i="2" s="1"/>
  <c r="C135" i="2"/>
  <c r="D135" i="2"/>
  <c r="E135" i="2"/>
  <c r="E137" i="2" s="1"/>
  <c r="F135" i="2"/>
  <c r="F137" i="2" s="1"/>
  <c r="G135" i="2"/>
  <c r="G137" i="2"/>
  <c r="C137" i="2"/>
  <c r="D137" i="2"/>
  <c r="C9" i="1"/>
  <c r="D9" i="1"/>
  <c r="E9" i="1"/>
  <c r="E8" i="1" s="1"/>
  <c r="G9" i="1"/>
  <c r="H9" i="1"/>
  <c r="F10" i="1"/>
  <c r="F9" i="1" s="1"/>
  <c r="C14" i="1"/>
  <c r="D14" i="1"/>
  <c r="E14" i="1"/>
  <c r="F14" i="1"/>
  <c r="G14" i="1"/>
  <c r="G8" i="1" s="1"/>
  <c r="H14" i="1"/>
  <c r="H8" i="1" s="1"/>
  <c r="C21" i="1"/>
  <c r="C22" i="1"/>
  <c r="D22" i="1"/>
  <c r="E22" i="1"/>
  <c r="F22" i="1"/>
  <c r="G22" i="1"/>
  <c r="H22" i="1"/>
  <c r="D31" i="1"/>
  <c r="F31" i="1"/>
  <c r="F21" i="1" s="1"/>
  <c r="G31" i="1"/>
  <c r="H31" i="1"/>
  <c r="H21" i="1" s="1"/>
  <c r="E32" i="1"/>
  <c r="E31" i="1" s="1"/>
  <c r="C33" i="1"/>
  <c r="C39" i="1"/>
  <c r="D39" i="1"/>
  <c r="E39" i="1"/>
  <c r="F39" i="1"/>
  <c r="G39" i="1"/>
  <c r="H39" i="1"/>
  <c r="H38" i="1"/>
  <c r="C48" i="1"/>
  <c r="C46" i="1" s="1"/>
  <c r="D48" i="1"/>
  <c r="D46" i="1" s="1"/>
  <c r="C64" i="1"/>
  <c r="D64" i="1"/>
  <c r="E64" i="1"/>
  <c r="F64" i="1"/>
  <c r="G64" i="1"/>
  <c r="H64" i="1"/>
  <c r="C68" i="1"/>
  <c r="D68" i="1"/>
  <c r="E68" i="1"/>
  <c r="F68" i="1"/>
  <c r="G68" i="1"/>
  <c r="H68" i="1"/>
  <c r="C78" i="1"/>
  <c r="C74" i="1" s="1"/>
  <c r="D78" i="1"/>
  <c r="D74" i="1"/>
  <c r="E78" i="1"/>
  <c r="E74" i="1" s="1"/>
  <c r="F78" i="1"/>
  <c r="F74" i="1" s="1"/>
  <c r="G78" i="1"/>
  <c r="G74" i="1" s="1"/>
  <c r="D80" i="1"/>
  <c r="E80" i="1"/>
  <c r="F80" i="1"/>
  <c r="G80" i="1"/>
  <c r="H80" i="1"/>
  <c r="C94" i="1"/>
  <c r="C95" i="1"/>
  <c r="C103" i="1"/>
  <c r="D103" i="1"/>
  <c r="D98" i="1"/>
  <c r="E103" i="1"/>
  <c r="E98" i="1" s="1"/>
  <c r="F103" i="1"/>
  <c r="F98" i="1"/>
  <c r="G103" i="1"/>
  <c r="G98" i="1" s="1"/>
  <c r="D108" i="1"/>
  <c r="E108" i="1"/>
  <c r="F108" i="1"/>
  <c r="G108" i="1"/>
  <c r="C123" i="1"/>
  <c r="D123" i="1"/>
  <c r="D118" i="1" s="1"/>
  <c r="E123" i="1"/>
  <c r="E118" i="1" s="1"/>
  <c r="F123" i="1"/>
  <c r="F118" i="1" s="1"/>
  <c r="G123" i="1"/>
  <c r="G118" i="1" s="1"/>
  <c r="D128" i="1"/>
  <c r="D95" i="1" s="1"/>
  <c r="E128" i="1"/>
  <c r="E95" i="1" s="1"/>
  <c r="F128" i="1"/>
  <c r="F95" i="1"/>
  <c r="G128" i="1"/>
  <c r="G95" i="1" s="1"/>
  <c r="H128" i="1"/>
  <c r="H95" i="1" s="1"/>
  <c r="D136" i="1"/>
  <c r="C137" i="1"/>
  <c r="C139" i="1" s="1"/>
  <c r="N21" i="1" l="1"/>
  <c r="F63" i="1"/>
  <c r="F8" i="1"/>
  <c r="D8" i="1"/>
  <c r="D89" i="1" s="1"/>
  <c r="G61" i="2"/>
  <c r="I21" i="1"/>
  <c r="K87" i="2"/>
  <c r="G63" i="1"/>
  <c r="C54" i="2"/>
  <c r="C53" i="2" s="1"/>
  <c r="C87" i="2" s="1"/>
  <c r="K38" i="2"/>
  <c r="L38" i="1"/>
  <c r="C96" i="1"/>
  <c r="F137" i="1"/>
  <c r="F139" i="1" s="1"/>
  <c r="C38" i="1"/>
  <c r="I38" i="1"/>
  <c r="I94" i="1"/>
  <c r="I96" i="1" s="1"/>
  <c r="F94" i="1"/>
  <c r="F96" i="1" s="1"/>
  <c r="J56" i="1"/>
  <c r="J55" i="1" s="1"/>
  <c r="K21" i="1"/>
  <c r="G56" i="1"/>
  <c r="G55" i="1" s="1"/>
  <c r="D38" i="1"/>
  <c r="C8" i="1"/>
  <c r="C89" i="1" s="1"/>
  <c r="L137" i="1"/>
  <c r="L139" i="1" s="1"/>
  <c r="L21" i="1"/>
  <c r="C63" i="1"/>
  <c r="F38" i="1"/>
  <c r="J38" i="1"/>
  <c r="N94" i="1"/>
  <c r="N96" i="1" s="1"/>
  <c r="L94" i="1"/>
  <c r="L96" i="1" s="1"/>
  <c r="G137" i="1"/>
  <c r="G139" i="1" s="1"/>
  <c r="H63" i="1"/>
  <c r="H56" i="1" s="1"/>
  <c r="H55" i="1" s="1"/>
  <c r="H89" i="1" s="1"/>
  <c r="D63" i="1"/>
  <c r="D56" i="1" s="1"/>
  <c r="D55" i="1" s="1"/>
  <c r="E38" i="1"/>
  <c r="I8" i="1"/>
  <c r="J8" i="1"/>
  <c r="J89" i="1" s="1"/>
  <c r="K38" i="1"/>
  <c r="K137" i="1"/>
  <c r="K139" i="1" s="1"/>
  <c r="L55" i="1"/>
  <c r="N38" i="1"/>
  <c r="E63" i="1"/>
  <c r="E56" i="1" s="1"/>
  <c r="E55" i="1" s="1"/>
  <c r="G38" i="1"/>
  <c r="E21" i="1"/>
  <c r="I137" i="1"/>
  <c r="I139" i="1" s="1"/>
  <c r="K63" i="1"/>
  <c r="K56" i="1" s="1"/>
  <c r="K55" i="1" s="1"/>
  <c r="F56" i="1"/>
  <c r="F55" i="1" s="1"/>
  <c r="G21" i="1"/>
  <c r="D137" i="1"/>
  <c r="D139" i="1" s="1"/>
  <c r="D21" i="1"/>
  <c r="J21" i="1"/>
  <c r="J94" i="1"/>
  <c r="J96" i="1" s="1"/>
  <c r="N63" i="1"/>
  <c r="N56" i="1" s="1"/>
  <c r="N55" i="1" s="1"/>
  <c r="K61" i="2"/>
  <c r="D94" i="1"/>
  <c r="D96" i="1" s="1"/>
  <c r="J54" i="2"/>
  <c r="J53" i="2" s="1"/>
  <c r="J87" i="2" s="1"/>
  <c r="K94" i="1"/>
  <c r="K96" i="1" s="1"/>
  <c r="E137" i="1"/>
  <c r="E139" i="1" s="1"/>
  <c r="E94" i="1"/>
  <c r="E96" i="1" s="1"/>
  <c r="H94" i="1"/>
  <c r="H96" i="1" s="1"/>
  <c r="H137" i="1"/>
  <c r="H139" i="1" s="1"/>
  <c r="G94" i="1"/>
  <c r="G96" i="1" s="1"/>
  <c r="N137" i="1"/>
  <c r="N139" i="1" s="1"/>
  <c r="J137" i="1"/>
  <c r="J139" i="1" s="1"/>
  <c r="I89" i="1" l="1"/>
  <c r="F89" i="1"/>
  <c r="E89" i="1"/>
  <c r="L89" i="1"/>
  <c r="N89" i="1"/>
  <c r="G89" i="1"/>
  <c r="K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Anglin, Alvis Bonita</author>
  </authors>
  <commentList>
    <comment ref="K8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Anglin, Alvis Bonita:</t>
        </r>
        <r>
          <rPr>
            <sz val="9"/>
            <color indexed="81"/>
            <rFont val="Tahoma"/>
            <family val="2"/>
          </rPr>
          <t xml:space="preserve">
See comment on non-resident loans and deposits in the 2015Q3 cell. In addition to those changes in 2015Q3, in 2015Q4 non-resident loans and deposits held by another retail bank were also included. That is, in 2015Q4 a Category A bank who has entities outside of Cayman Islands, but under the Cayman Islands licence,was advised to report these amounts on the DBA as well.</t>
        </r>
      </text>
    </comment>
    <comment ref="K12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Anglin, Alvis Bonita:</t>
        </r>
        <r>
          <rPr>
            <sz val="9"/>
            <color indexed="81"/>
            <rFont val="Tahoma"/>
            <family val="2"/>
          </rPr>
          <t xml:space="preserve">
See comment on non-resident loans above in the 2015Q3 and 2015Q4 cells. In 2015Q4, a Category A bank who has entities outside of Cayman Islands, but under the Cayman Islands licence, was advised to report these amounts on the DBA as well.</t>
        </r>
      </text>
    </comment>
  </commentList>
</comments>
</file>

<file path=xl/sharedStrings.xml><?xml version="1.0" encoding="utf-8"?>
<sst xmlns="http://schemas.openxmlformats.org/spreadsheetml/2006/main" count="413" uniqueCount="101">
  <si>
    <t xml:space="preserve">ASSETS - CATEGORY 'A' - RETAIL BANKS (in USD 000's) - UNCONSOLIDATED </t>
  </si>
  <si>
    <t>ASSETS</t>
  </si>
  <si>
    <t>2016Q1</t>
  </si>
  <si>
    <t>CASH ITEMS</t>
  </si>
  <si>
    <t>DEPOSIT BALANCES &amp; CD'S  - RESIDENT &amp; NON-RESIDENT</t>
  </si>
  <si>
    <t>RESIDENT</t>
  </si>
  <si>
    <t xml:space="preserve">Other Depository Corps. ('A' Banks - Retail &amp; Non-Retail) </t>
  </si>
  <si>
    <t>Other Depository Corps. ('B' Banks )</t>
  </si>
  <si>
    <t xml:space="preserve">Other Financial Corps. (Financial Intermediaries, Auxiliaries &amp; Non-Bank Financial Inst's.) </t>
  </si>
  <si>
    <t>NON-RESIDENT</t>
  </si>
  <si>
    <t>Group Bank - Parent, Head Office, Branch, Subsidiary or Affiliate</t>
  </si>
  <si>
    <t>Other Banks</t>
  </si>
  <si>
    <t>n/a</t>
  </si>
  <si>
    <t>DEBT &amp; EQUITY SECURITIES  - RESIDENT &amp; NON-RESIDENT</t>
  </si>
  <si>
    <t>Central Government</t>
  </si>
  <si>
    <t>Public Financial &amp; Nonfinancial Corporations (Public Entities)</t>
  </si>
  <si>
    <t>Non-Financial Corporations (Commercial Private Sector)</t>
  </si>
  <si>
    <t>Other Depository Corps. ('B' Banks)</t>
  </si>
  <si>
    <t>Others (Households &amp; Non-Profits)</t>
  </si>
  <si>
    <t>OTHER INVESTMENTS - RESIDENT &amp; NON-RESIDENT</t>
  </si>
  <si>
    <t>Other Depository Corps. (Class 'B' Banks)</t>
  </si>
  <si>
    <t>Others (Non-Financial Corporations, Households &amp; Non-Profits)</t>
  </si>
  <si>
    <t>LOANS &amp; ADVANCES - RESIDENT &amp; NON-RESIDENT</t>
  </si>
  <si>
    <t>Public Financial &amp; Nonfinancial Corps.(SA's &amp; GOC's)</t>
  </si>
  <si>
    <t>Non-Financial Corps. (Commercial Private Sector)</t>
  </si>
  <si>
    <t xml:space="preserve">    o/w Production, Manufacturing &amp; Construction</t>
  </si>
  <si>
    <t xml:space="preserve">    o/w Services (tourist accomodation, transportation, communication &amp; other services)</t>
  </si>
  <si>
    <t xml:space="preserve">    o/w Trade &amp; Commerce (wholesale/retail trade; real estate, property mgt. &amp; related act.)</t>
  </si>
  <si>
    <t>Financial Corporations (Depository and Other Financial Corporations)</t>
  </si>
  <si>
    <t xml:space="preserve">    o/w Central Banks, Monetary Authority (CIMA)</t>
  </si>
  <si>
    <t xml:space="preserve">    o/w Other Depository Corps ( Category A Banks)</t>
  </si>
  <si>
    <t xml:space="preserve">    o/w Other Depository Corps ( Category B Banks)</t>
  </si>
  <si>
    <t xml:space="preserve">    o/w Insurance Companies and Pension Funds</t>
  </si>
  <si>
    <t xml:space="preserve">    o/w Trusts &amp; Mutual Funds</t>
  </si>
  <si>
    <t xml:space="preserve">    o/w Securities Dealers, Brokers &amp; Agents</t>
  </si>
  <si>
    <t xml:space="preserve">    o/w Other Financial Institutions (intermediaries &amp; auxiliaries)</t>
  </si>
  <si>
    <t xml:space="preserve">    o/w Group Affiliated Entities (Resident) - Corporations, Funds, Insurance, Trusts, etc.</t>
  </si>
  <si>
    <t>Other Sectors (Households &amp; NPI's)</t>
  </si>
  <si>
    <t xml:space="preserve">    o/w Domestic Property</t>
  </si>
  <si>
    <t xml:space="preserve">    o/w Motor Vehicles</t>
  </si>
  <si>
    <t xml:space="preserve">    o/w Education</t>
  </si>
  <si>
    <t xml:space="preserve">    o/w Miscellaneous </t>
  </si>
  <si>
    <t xml:space="preserve">PREMISES, FIXED ASSETS &amp; GOODWILL </t>
  </si>
  <si>
    <t>TOTAL ASSETS</t>
  </si>
  <si>
    <t>LIABILITIES - CATEGORY 'A'  - RETAIL BANKS (in USD 000's) - UNCONSOLIDATED</t>
  </si>
  <si>
    <t>LIABILITIES</t>
  </si>
  <si>
    <t xml:space="preserve">TOTAL RESIDENT DEPOSITS  </t>
  </si>
  <si>
    <t>TOTAL NON-RESIDENT DEPOSITS</t>
  </si>
  <si>
    <t>TOTAL DEPOSITS</t>
  </si>
  <si>
    <t>TRANSFERABLE DEPOSITS (Demand) - RESIDENT</t>
  </si>
  <si>
    <t>Public Financial &amp; Non-Financial Corporations (SA's &amp; GOC's &amp; Gov. NPI's)</t>
  </si>
  <si>
    <t>Non-Financial Corporations (Commerical Private Sector)</t>
  </si>
  <si>
    <t>Central Bank, Monetary Authority, Currency Board (CIMA)</t>
  </si>
  <si>
    <t>Other Depository Corporations (Class 'A' Banks - Retail &amp; Non-Retail)</t>
  </si>
  <si>
    <t>Other Depository Corporations (Category 'B' Banks )</t>
  </si>
  <si>
    <t>Other Sectors (Households &amp; Non-Profit Associations)</t>
  </si>
  <si>
    <t>SAVINGS DEPOSITS  - RESIDENT</t>
  </si>
  <si>
    <t>FIXED DEPOSITS - RESIDENT</t>
  </si>
  <si>
    <t>Other Depository Corporations (Class 'A' Banks- Retail &amp; Non-Retail)</t>
  </si>
  <si>
    <t>OTHER DEPOSITS - NON-RESIDENT</t>
  </si>
  <si>
    <t>REPO's, TERM DEBT &amp; OTHER BORROWINGS</t>
  </si>
  <si>
    <t>OTHER LIABILITIES</t>
  </si>
  <si>
    <t>TOTAL LIABILITIES</t>
  </si>
  <si>
    <t>SHAREHOLDERS EQUITY</t>
  </si>
  <si>
    <t>TOTAL LIABILITIES &amp; SHAREHOLDERS EQUITY</t>
  </si>
  <si>
    <t>Unconsolidated - Does not include the operations of other entities that operate under these banks outside the Cayman Islands.</t>
  </si>
  <si>
    <t>n/a - The design of the DBA Survey Form did not capture this breakdown for those periods.</t>
  </si>
  <si>
    <t>In Year 2011Q3 a Category 'A' retail bank restructured its operations between retail and non-retail.</t>
  </si>
  <si>
    <t>Year 2014Q1 - DBA was revised to capture data on Non-Resident: Non-Financial Corps - Commercial Private Sector, Governments, Households &amp; Non-Profit Associations</t>
  </si>
  <si>
    <t>In Year 2015Q1 a Category A retail bank changed its license to a Category B bank.</t>
  </si>
  <si>
    <t>In Year 2015Q3, CIMA advised a Category A bank to include non-resident transactions (primarily loans and deposits) that was previosuly not considered 'cayman banking operations' on the DBA.</t>
  </si>
  <si>
    <t xml:space="preserve">In Year 2015Q4, CIMA advised a Category A bank, who has entities outside of the Cayman Islands but under the Cayman Islands licence, to report the non-resident transactions (primarily loans and deposits) associated with these entities on the DBA. </t>
  </si>
  <si>
    <t>Updated June 2016 for period ending March 2016.</t>
  </si>
  <si>
    <t>2016Q2</t>
  </si>
  <si>
    <t xml:space="preserve">  o/w Depository Corporations </t>
  </si>
  <si>
    <t xml:space="preserve"> o/w Depository Corporations </t>
  </si>
  <si>
    <t xml:space="preserve"> o/w Other Financial Corps. (Financial Intermediaries &amp; Non-Bank Financial Ins.) </t>
  </si>
  <si>
    <t>Non-Financial Corporations - Commercial Private Sector</t>
  </si>
  <si>
    <t>Other Sectors - Governments &amp; Households</t>
  </si>
  <si>
    <t>Other Sectors - Households &amp; Non-Profit Associations</t>
  </si>
  <si>
    <t>Other Sectors - Government, Households &amp; Non-Profit Associations</t>
  </si>
  <si>
    <t xml:space="preserve"> Non-Financial Corporations - Commercial Private Sector</t>
  </si>
  <si>
    <t>Other Sectors - Government &amp; Households</t>
  </si>
  <si>
    <t xml:space="preserve">NOTES &amp; COINS IN HAND </t>
  </si>
  <si>
    <t>2016Q3</t>
  </si>
  <si>
    <t>2016Q4</t>
  </si>
  <si>
    <t>2017Q1</t>
  </si>
  <si>
    <t>2017Q2</t>
  </si>
  <si>
    <t>2017Q3</t>
  </si>
  <si>
    <t>2017Q4</t>
  </si>
  <si>
    <r>
      <t xml:space="preserve">OTHER ASSETS </t>
    </r>
    <r>
      <rPr>
        <b/>
        <i/>
        <sz val="9"/>
        <rFont val="Verdana"/>
        <family val="2"/>
      </rPr>
      <t>(including interest, cheques under collection,)</t>
    </r>
  </si>
  <si>
    <t>2018Q1</t>
  </si>
  <si>
    <t>2018Q2</t>
  </si>
  <si>
    <t>2018Q3</t>
  </si>
  <si>
    <t>2018Q4</t>
  </si>
  <si>
    <t>2019Q1</t>
  </si>
  <si>
    <t xml:space="preserve">                                 ASSETS - CATEGORY 'A' - RETAIL BANKS (in USD 000's) - UNCONSOLIDATED </t>
  </si>
  <si>
    <t xml:space="preserve">                                     LIABILITIES - CATEGORY 'A'  - RETAIL BANKS (in USD 000's) - UNCONSOLIDATED</t>
  </si>
  <si>
    <t>2019Q2</t>
  </si>
  <si>
    <t>2019Q3</t>
  </si>
  <si>
    <t xml:space="preserve">Updated December 2019 for  period ending September 30,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</si>
</sst>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_);\(0\)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9"/>
      <name val="Verdana"/>
      <family val="2"/>
    </font>
    <font>
      <sz val="9"/>
      <name val="Verdana"/>
      <family val="2"/>
    </font>
    <font>
      <u val="double"/>
      <sz val="12"/>
      <name val="Verdana"/>
      <family val="2"/>
    </font>
    <font>
      <b/>
      <u/>
      <sz val="10"/>
      <name val="Verdana"/>
      <family val="2"/>
    </font>
    <font>
      <b/>
      <sz val="9"/>
      <name val="Verdana"/>
      <family val="2"/>
    </font>
    <font>
      <b/>
      <u/>
      <sz val="9"/>
      <color indexed="63"/>
      <name val="Verdana"/>
      <family val="2"/>
    </font>
    <font>
      <b/>
      <sz val="8"/>
      <name val="Verdana"/>
      <family val="2"/>
    </font>
    <font>
      <sz val="8"/>
      <color indexed="63"/>
      <name val="Verdana"/>
      <family val="2"/>
    </font>
    <font>
      <i/>
      <sz val="9"/>
      <color indexed="63"/>
      <name val="Verdana"/>
      <family val="2"/>
    </font>
    <font>
      <b/>
      <sz val="10"/>
      <name val="Verdana"/>
      <family val="2"/>
    </font>
    <font>
      <i/>
      <sz val="9"/>
      <name val="Verdana"/>
      <family val="2"/>
    </font>
    <font>
      <b/>
      <sz val="11"/>
      <color indexed="63"/>
      <name val="Verdana"/>
      <family val="2"/>
    </font>
    <font>
      <i/>
      <sz val="8"/>
      <name val="Verdana"/>
      <family val="2"/>
    </font>
    <font>
      <sz val="9"/>
      <color indexed="63"/>
      <name val="Verdana"/>
      <family val="2"/>
    </font>
    <font>
      <b/>
      <i/>
      <sz val="8"/>
      <name val="Verdana"/>
      <family val="2"/>
    </font>
    <font>
      <i/>
      <sz val="8"/>
      <color indexed="10"/>
      <name val="Verdana"/>
      <family val="2"/>
    </font>
    <font>
      <sz val="11"/>
      <name val="Verdana"/>
      <family val="2"/>
    </font>
    <font>
      <b/>
      <i/>
      <sz val="9"/>
      <name val="Verdana"/>
      <family val="2"/>
    </font>
    <font>
      <i/>
      <sz val="10"/>
      <name val="Verdana"/>
      <family val="2"/>
    </font>
    <font>
      <b/>
      <sz val="9"/>
      <color indexed="8"/>
      <name val="Verdana"/>
      <family val="2"/>
    </font>
    <font>
      <b/>
      <sz val="10"/>
      <color indexed="63"/>
      <name val="Verdana"/>
      <family val="2"/>
    </font>
    <font>
      <b/>
      <i/>
      <sz val="10"/>
      <color indexed="63"/>
      <name val="Verdana"/>
      <family val="2"/>
    </font>
    <font>
      <b/>
      <i/>
      <sz val="8"/>
      <color indexed="63"/>
      <name val="Verdana"/>
      <family val="2"/>
    </font>
    <font>
      <b/>
      <sz val="9"/>
      <color theme="0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32" fillId="2" borderId="1" xfId="0" applyFont="1" applyFill="1" applyBorder="1" applyAlignment="1">
      <alignment horizontal="right"/>
    </xf>
    <xf numFmtId="0" fontId="10" fillId="0" borderId="0" xfId="0" applyFont="1"/>
    <xf numFmtId="0" fontId="12" fillId="0" borderId="0" xfId="8" applyFont="1"/>
    <xf numFmtId="0" fontId="13" fillId="0" borderId="0" xfId="0" applyFont="1"/>
    <xf numFmtId="165" fontId="13" fillId="0" borderId="0" xfId="1" applyNumberFormat="1" applyFont="1"/>
    <xf numFmtId="0" fontId="13" fillId="0" borderId="0" xfId="7" applyFont="1"/>
    <xf numFmtId="0" fontId="14" fillId="0" borderId="0" xfId="0" applyFont="1"/>
    <xf numFmtId="3" fontId="15" fillId="0" borderId="0" xfId="0" applyNumberFormat="1" applyFont="1"/>
    <xf numFmtId="0" fontId="16" fillId="0" borderId="0" xfId="0" applyFont="1"/>
    <xf numFmtId="165" fontId="6" fillId="0" borderId="0" xfId="1" applyNumberFormat="1" applyFont="1"/>
    <xf numFmtId="37" fontId="6" fillId="0" borderId="0" xfId="1" applyNumberFormat="1" applyFont="1"/>
    <xf numFmtId="0" fontId="17" fillId="0" borderId="0" xfId="0" applyFont="1"/>
    <xf numFmtId="0" fontId="16" fillId="0" borderId="0" xfId="7" applyFont="1"/>
    <xf numFmtId="3" fontId="13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5" fontId="33" fillId="0" borderId="0" xfId="1" applyNumberFormat="1" applyFont="1"/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0" fontId="22" fillId="0" borderId="0" xfId="0" applyFont="1"/>
    <xf numFmtId="0" fontId="15" fillId="0" borderId="0" xfId="0" applyFont="1"/>
    <xf numFmtId="0" fontId="21" fillId="3" borderId="0" xfId="0" applyFont="1" applyFill="1"/>
    <xf numFmtId="3" fontId="21" fillId="3" borderId="0" xfId="0" applyNumberFormat="1" applyFont="1" applyFill="1"/>
    <xf numFmtId="3" fontId="6" fillId="0" borderId="0" xfId="0" applyNumberFormat="1" applyFont="1"/>
    <xf numFmtId="0" fontId="23" fillId="0" borderId="0" xfId="0" applyFont="1"/>
    <xf numFmtId="3" fontId="21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/>
    <xf numFmtId="0" fontId="24" fillId="3" borderId="0" xfId="0" applyFont="1" applyFill="1"/>
    <xf numFmtId="165" fontId="24" fillId="0" borderId="0" xfId="0" applyNumberFormat="1" applyFont="1"/>
    <xf numFmtId="0" fontId="25" fillId="0" borderId="0" xfId="0" applyFont="1" applyAlignment="1">
      <alignment horizontal="center"/>
    </xf>
    <xf numFmtId="0" fontId="25" fillId="0" borderId="0" xfId="0" applyFont="1"/>
    <xf numFmtId="3" fontId="6" fillId="0" borderId="0" xfId="0" applyNumberFormat="1" applyFont="1" applyAlignment="1">
      <alignment horizontal="right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0" fontId="32" fillId="2" borderId="0" xfId="0" applyFont="1" applyFill="1" applyAlignment="1">
      <alignment horizontal="right"/>
    </xf>
    <xf numFmtId="0" fontId="27" fillId="0" borderId="0" xfId="0" applyFont="1"/>
    <xf numFmtId="0" fontId="28" fillId="0" borderId="0" xfId="0" applyFont="1"/>
    <xf numFmtId="165" fontId="7" fillId="0" borderId="0" xfId="0" applyNumberFormat="1" applyFont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2" borderId="2" xfId="0" applyFont="1" applyFill="1" applyBorder="1"/>
    <xf numFmtId="0" fontId="10" fillId="4" borderId="0" xfId="0" applyFont="1" applyFill="1" applyAlignment="1">
      <alignment horizontal="center"/>
    </xf>
    <xf numFmtId="0" fontId="11" fillId="4" borderId="0" xfId="0" applyFont="1" applyFill="1"/>
    <xf numFmtId="0" fontId="10" fillId="4" borderId="0" xfId="0" applyFont="1" applyFill="1"/>
    <xf numFmtId="0" fontId="12" fillId="4" borderId="0" xfId="8" applyFont="1" applyFill="1"/>
    <xf numFmtId="0" fontId="32" fillId="4" borderId="0" xfId="0" applyFont="1" applyFill="1" applyAlignment="1">
      <alignment horizontal="right"/>
    </xf>
    <xf numFmtId="0" fontId="13" fillId="4" borderId="0" xfId="0" applyFont="1" applyFill="1"/>
    <xf numFmtId="3" fontId="13" fillId="4" borderId="0" xfId="0" applyNumberFormat="1" applyFont="1" applyFill="1"/>
    <xf numFmtId="165" fontId="13" fillId="4" borderId="0" xfId="1" applyNumberFormat="1" applyFont="1" applyFill="1"/>
    <xf numFmtId="0" fontId="13" fillId="4" borderId="0" xfId="7" applyFont="1" applyFill="1"/>
    <xf numFmtId="0" fontId="14" fillId="4" borderId="0" xfId="0" applyFont="1" applyFill="1"/>
    <xf numFmtId="3" fontId="15" fillId="4" borderId="0" xfId="0" applyNumberFormat="1" applyFont="1" applyFill="1"/>
    <xf numFmtId="0" fontId="6" fillId="4" borderId="0" xfId="0" applyFont="1" applyFill="1" applyAlignment="1">
      <alignment horizontal="center"/>
    </xf>
    <xf numFmtId="0" fontId="16" fillId="4" borderId="0" xfId="0" applyFont="1" applyFill="1"/>
    <xf numFmtId="165" fontId="6" fillId="4" borderId="0" xfId="1" applyNumberFormat="1" applyFont="1" applyFill="1" applyAlignment="1">
      <alignment horizontal="right"/>
    </xf>
    <xf numFmtId="165" fontId="6" fillId="4" borderId="0" xfId="1" applyNumberFormat="1" applyFont="1" applyFill="1"/>
    <xf numFmtId="165" fontId="6" fillId="4" borderId="0" xfId="1" applyNumberFormat="1" applyFont="1" applyFill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37" fontId="6" fillId="4" borderId="0" xfId="1" applyNumberFormat="1" applyFont="1" applyFill="1"/>
    <xf numFmtId="0" fontId="17" fillId="4" borderId="0" xfId="0" applyFont="1" applyFill="1"/>
    <xf numFmtId="0" fontId="10" fillId="4" borderId="0" xfId="0" applyFont="1" applyFill="1" applyAlignment="1">
      <alignment horizontal="right"/>
    </xf>
    <xf numFmtId="165" fontId="10" fillId="4" borderId="0" xfId="1" applyNumberFormat="1" applyFont="1" applyFill="1"/>
    <xf numFmtId="165" fontId="10" fillId="4" borderId="0" xfId="1" applyNumberFormat="1" applyFont="1" applyFill="1"/>
    <xf numFmtId="0" fontId="16" fillId="4" borderId="0" xfId="7" applyFont="1" applyFill="1"/>
    <xf numFmtId="165" fontId="16" fillId="4" borderId="0" xfId="1" applyNumberFormat="1" applyFont="1" applyFill="1" applyAlignment="1">
      <alignment horizontal="right"/>
    </xf>
    <xf numFmtId="166" fontId="16" fillId="4" borderId="0" xfId="1" applyNumberFormat="1" applyFont="1" applyFill="1" applyAlignment="1">
      <alignment horizontal="right"/>
    </xf>
    <xf numFmtId="3" fontId="29" fillId="4" borderId="0" xfId="0" applyNumberFormat="1" applyFont="1" applyFill="1"/>
    <xf numFmtId="3" fontId="30" fillId="4" borderId="0" xfId="0" applyNumberFormat="1" applyFont="1" applyFill="1"/>
    <xf numFmtId="0" fontId="27" fillId="4" borderId="0" xfId="0" applyFont="1" applyFill="1"/>
    <xf numFmtId="0" fontId="18" fillId="4" borderId="0" xfId="0" applyFont="1" applyFill="1" applyAlignment="1">
      <alignment horizontal="center"/>
    </xf>
    <xf numFmtId="0" fontId="18" fillId="4" borderId="0" xfId="0" applyFont="1" applyFill="1"/>
    <xf numFmtId="3" fontId="6" fillId="4" borderId="0" xfId="0" applyNumberFormat="1" applyFont="1" applyFill="1"/>
    <xf numFmtId="3" fontId="16" fillId="4" borderId="0" xfId="0" applyNumberFormat="1" applyFont="1" applyFill="1"/>
    <xf numFmtId="3" fontId="6" fillId="4" borderId="0" xfId="0" applyNumberFormat="1" applyFont="1" applyFill="1" applyAlignment="1">
      <alignment horizontal="right"/>
    </xf>
    <xf numFmtId="0" fontId="19" fillId="4" borderId="0" xfId="0" applyFont="1" applyFill="1"/>
    <xf numFmtId="3" fontId="10" fillId="4" borderId="0" xfId="0" applyNumberFormat="1" applyFont="1" applyFill="1" applyAlignment="1">
      <alignment horizontal="right"/>
    </xf>
    <xf numFmtId="165" fontId="22" fillId="4" borderId="0" xfId="1" applyNumberFormat="1" applyFont="1" applyFill="1" applyAlignment="1">
      <alignment horizontal="right"/>
    </xf>
    <xf numFmtId="0" fontId="35" fillId="4" borderId="0" xfId="0" applyFont="1" applyFill="1"/>
    <xf numFmtId="165" fontId="16" fillId="0" borderId="0" xfId="1" applyNumberFormat="1" applyFont="1" applyAlignment="1">
      <alignment horizontal="right"/>
    </xf>
    <xf numFmtId="0" fontId="20" fillId="4" borderId="0" xfId="0" applyFont="1" applyFill="1"/>
    <xf numFmtId="165" fontId="29" fillId="4" borderId="0" xfId="1" applyNumberFormat="1" applyFont="1" applyFill="1"/>
    <xf numFmtId="3" fontId="13" fillId="4" borderId="0" xfId="0" applyNumberFormat="1" applyFont="1" applyFill="1" applyAlignment="1">
      <alignment horizontal="right"/>
    </xf>
    <xf numFmtId="165" fontId="16" fillId="4" borderId="0" xfId="1" applyNumberFormat="1" applyFont="1" applyFill="1"/>
    <xf numFmtId="3" fontId="6" fillId="4" borderId="0" xfId="0" applyNumberFormat="1" applyFont="1" applyFill="1"/>
    <xf numFmtId="0" fontId="19" fillId="4" borderId="0" xfId="0" applyFont="1" applyFill="1" applyAlignment="1">
      <alignment horizontal="center"/>
    </xf>
    <xf numFmtId="0" fontId="22" fillId="4" borderId="0" xfId="0" applyFont="1" applyFill="1"/>
    <xf numFmtId="0" fontId="15" fillId="4" borderId="0" xfId="0" applyFont="1" applyFill="1"/>
    <xf numFmtId="0" fontId="21" fillId="4" borderId="0" xfId="0" applyFont="1" applyFill="1" applyAlignment="1">
      <alignment horizontal="center"/>
    </xf>
    <xf numFmtId="0" fontId="21" fillId="4" borderId="0" xfId="0" applyFont="1" applyFill="1"/>
    <xf numFmtId="0" fontId="31" fillId="4" borderId="0" xfId="0" applyFont="1" applyFill="1"/>
    <xf numFmtId="3" fontId="21" fillId="4" borderId="0" xfId="0" applyNumberFormat="1" applyFont="1" applyFill="1"/>
    <xf numFmtId="0" fontId="24" fillId="4" borderId="0" xfId="0" applyFont="1" applyFill="1" applyAlignment="1">
      <alignment horizontal="center"/>
    </xf>
    <xf numFmtId="0" fontId="24" fillId="4" borderId="0" xfId="0" applyFont="1" applyFill="1"/>
    <xf numFmtId="3" fontId="21" fillId="3" borderId="0" xfId="0" applyNumberFormat="1" applyFont="1" applyFill="1" applyAlignment="1">
      <alignment horizontal="right"/>
    </xf>
    <xf numFmtId="3" fontId="21" fillId="4" borderId="0" xfId="0" applyNumberFormat="1" applyFont="1" applyFill="1" applyAlignment="1">
      <alignment horizontal="right"/>
    </xf>
    <xf numFmtId="0" fontId="25" fillId="4" borderId="0" xfId="0" applyFont="1" applyFill="1" applyAlignment="1">
      <alignment horizontal="center"/>
    </xf>
    <xf numFmtId="3" fontId="15" fillId="4" borderId="0" xfId="0" applyNumberFormat="1" applyFont="1" applyFill="1"/>
    <xf numFmtId="0" fontId="25" fillId="4" borderId="0" xfId="0" applyFont="1" applyFill="1"/>
    <xf numFmtId="165" fontId="6" fillId="4" borderId="0" xfId="1" applyNumberFormat="1" applyFont="1" applyFill="1" applyAlignment="1">
      <alignment horizontal="center"/>
    </xf>
    <xf numFmtId="165" fontId="16" fillId="4" borderId="0" xfId="1" applyNumberFormat="1" applyFont="1" applyFill="1"/>
    <xf numFmtId="3" fontId="18" fillId="4" borderId="0" xfId="0" applyNumberFormat="1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3" fontId="18" fillId="4" borderId="0" xfId="0" applyNumberFormat="1" applyFont="1" applyFill="1" applyAlignment="1">
      <alignment horizontal="right"/>
    </xf>
    <xf numFmtId="3" fontId="18" fillId="4" borderId="0" xfId="0" applyNumberFormat="1" applyFont="1" applyFill="1"/>
    <xf numFmtId="0" fontId="9" fillId="4" borderId="0" xfId="0" applyFont="1" applyFill="1" applyAlignment="1">
      <alignment horizontal="center" wrapText="1"/>
    </xf>
    <xf numFmtId="0" fontId="28" fillId="4" borderId="0" xfId="0" applyFont="1" applyFill="1"/>
    <xf numFmtId="3" fontId="7" fillId="4" borderId="0" xfId="0" applyNumberFormat="1" applyFont="1" applyFill="1"/>
    <xf numFmtId="0" fontId="6" fillId="4" borderId="0" xfId="0" applyFont="1" applyFill="1"/>
    <xf numFmtId="0" fontId="34" fillId="4" borderId="0" xfId="0" applyFont="1" applyFill="1"/>
    <xf numFmtId="165" fontId="10" fillId="4" borderId="0" xfId="1" applyNumberFormat="1" applyFont="1" applyFill="1" applyAlignment="1">
      <alignment horizontal="right"/>
    </xf>
    <xf numFmtId="0" fontId="6" fillId="4" borderId="0" xfId="0" quotePrefix="1" applyFont="1" applyFill="1"/>
    <xf numFmtId="0" fontId="8" fillId="4" borderId="0" xfId="0" applyFont="1" applyFill="1" applyAlignment="1">
      <alignment horizontal="center"/>
    </xf>
    <xf numFmtId="0" fontId="7" fillId="4" borderId="0" xfId="0" applyFont="1" applyFill="1"/>
    <xf numFmtId="0" fontId="7" fillId="2" borderId="4" xfId="0" applyFont="1" applyFill="1" applyBorder="1"/>
    <xf numFmtId="0" fontId="7" fillId="0" borderId="0" xfId="0" applyFont="1" applyBorder="1"/>
    <xf numFmtId="0" fontId="6" fillId="0" borderId="0" xfId="0" applyFont="1" applyBorder="1"/>
    <xf numFmtId="165" fontId="6" fillId="0" borderId="0" xfId="1" applyNumberFormat="1" applyFont="1" applyBorder="1"/>
    <xf numFmtId="0" fontId="32" fillId="2" borderId="3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165" fontId="32" fillId="2" borderId="4" xfId="1" applyNumberFormat="1" applyFont="1" applyFill="1" applyBorder="1" applyAlignment="1">
      <alignment horizontal="right"/>
    </xf>
    <xf numFmtId="165" fontId="32" fillId="2" borderId="2" xfId="1" applyNumberFormat="1" applyFont="1" applyFill="1" applyBorder="1" applyAlignment="1">
      <alignment horizontal="right"/>
    </xf>
    <xf numFmtId="165" fontId="10" fillId="0" borderId="0" xfId="1" applyNumberFormat="1" applyFont="1"/>
    <xf numFmtId="165" fontId="13" fillId="0" borderId="0" xfId="1" applyNumberFormat="1" applyFont="1" applyAlignment="1">
      <alignment horizontal="right" vertical="center"/>
    </xf>
    <xf numFmtId="37" fontId="10" fillId="0" borderId="0" xfId="1" applyNumberFormat="1" applyFont="1"/>
    <xf numFmtId="165" fontId="36" fillId="0" borderId="0" xfId="1" applyNumberFormat="1" applyFont="1"/>
    <xf numFmtId="3" fontId="19" fillId="3" borderId="0" xfId="0" applyNumberFormat="1" applyFont="1" applyFill="1"/>
    <xf numFmtId="165" fontId="19" fillId="3" borderId="0" xfId="1" applyNumberFormat="1" applyFont="1" applyFill="1"/>
    <xf numFmtId="3" fontId="10" fillId="0" borderId="0" xfId="0" applyNumberFormat="1" applyFont="1"/>
    <xf numFmtId="3" fontId="19" fillId="0" borderId="0" xfId="0" applyNumberFormat="1" applyFont="1"/>
    <xf numFmtId="165" fontId="10" fillId="0" borderId="0" xfId="0" applyNumberFormat="1" applyFont="1"/>
    <xf numFmtId="3" fontId="7" fillId="0" borderId="0" xfId="0" applyNumberFormat="1" applyFont="1"/>
    <xf numFmtId="37" fontId="10" fillId="0" borderId="0" xfId="1" applyNumberFormat="1" applyFont="1" applyAlignment="1">
      <alignment horizontal="right"/>
    </xf>
    <xf numFmtId="165" fontId="13" fillId="0" borderId="0" xfId="1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165" fontId="36" fillId="0" borderId="0" xfId="1" applyNumberFormat="1" applyFont="1" applyAlignment="1">
      <alignment horizontal="right"/>
    </xf>
    <xf numFmtId="0" fontId="10" fillId="2" borderId="4" xfId="0" applyFont="1" applyFill="1" applyBorder="1"/>
    <xf numFmtId="165" fontId="10" fillId="2" borderId="4" xfId="1" applyNumberFormat="1" applyFont="1" applyFill="1" applyBorder="1"/>
    <xf numFmtId="165" fontId="10" fillId="2" borderId="2" xfId="1" applyNumberFormat="1" applyFont="1" applyFill="1" applyBorder="1"/>
    <xf numFmtId="0" fontId="6" fillId="2" borderId="4" xfId="0" applyFont="1" applyFill="1" applyBorder="1"/>
    <xf numFmtId="165" fontId="6" fillId="2" borderId="4" xfId="1" applyNumberFormat="1" applyFont="1" applyFill="1" applyBorder="1"/>
    <xf numFmtId="165" fontId="6" fillId="2" borderId="2" xfId="1" applyNumberFormat="1" applyFont="1" applyFill="1" applyBorder="1"/>
    <xf numFmtId="165" fontId="13" fillId="0" borderId="0" xfId="1" applyNumberFormat="1" applyFont="1" applyAlignment="1"/>
    <xf numFmtId="165" fontId="13" fillId="0" borderId="0" xfId="1" applyNumberFormat="1" applyFont="1" applyAlignment="1">
      <alignment vertical="center"/>
    </xf>
    <xf numFmtId="3" fontId="13" fillId="0" borderId="0" xfId="0" applyNumberFormat="1" applyFont="1" applyAlignment="1"/>
    <xf numFmtId="165" fontId="10" fillId="0" borderId="0" xfId="1" applyNumberFormat="1" applyFont="1" applyAlignment="1"/>
    <xf numFmtId="37" fontId="10" fillId="0" borderId="0" xfId="1" applyNumberFormat="1" applyFont="1" applyAlignment="1"/>
    <xf numFmtId="0" fontId="9" fillId="2" borderId="3" xfId="0" applyFont="1" applyFill="1" applyBorder="1" applyAlignment="1">
      <alignment horizontal="center"/>
    </xf>
    <xf numFmtId="3" fontId="10" fillId="0" borderId="0" xfId="1" applyNumberFormat="1" applyFont="1"/>
    <xf numFmtId="1" fontId="10" fillId="0" borderId="0" xfId="1" applyNumberFormat="1" applyFont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11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omma 5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Percent 2" xfId="9" xr:uid="{00000000-0005-0000-0000-000009000000}"/>
    <cellStyle name="Percent 3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847725</xdr:colOff>
      <xdr:row>1</xdr:row>
      <xdr:rowOff>228600</xdr:rowOff>
    </xdr:to>
    <xdr:pic>
      <xdr:nvPicPr>
        <xdr:cNvPr id="1988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3956B630-625E-407D-A402-E7A250AB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847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</xdr:col>
      <xdr:colOff>1238250</xdr:colOff>
      <xdr:row>1</xdr:row>
      <xdr:rowOff>238125</xdr:rowOff>
    </xdr:to>
    <xdr:pic>
      <xdr:nvPicPr>
        <xdr:cNvPr id="220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75ABF180-E426-4217-A363-FEB84E8C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8858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V147"/>
  <sheetViews>
    <sheetView showGridLines="0" tabSelected="1" zoomScale="90" zoomScaleNormal="90" workbookViewId="0">
      <pane xSplit="2" topLeftCell="C1" activePane="topRight" state="frozen"/>
      <selection activeCell="A16" sqref="A16"/>
      <selection pane="topRight" activeCell="D1" sqref="D1"/>
    </sheetView>
  </sheetViews>
  <sheetFormatPr defaultColWidth="0.85546875" defaultRowHeight="15.95" customHeight="1" x14ac:dyDescent="0.2"/>
  <cols>
    <col min="1" max="1" width="3.5703125" style="3" customWidth="1"/>
    <col min="2" max="2" width="64.5703125" style="4" customWidth="1"/>
    <col min="3" max="9" width="12.7109375" style="4" customWidth="1"/>
    <col min="10" max="10" width="12.7109375" style="2" customWidth="1"/>
    <col min="11" max="14" width="13.5703125" style="18" bestFit="1" customWidth="1"/>
    <col min="15" max="17" width="13.5703125" style="4" bestFit="1" customWidth="1"/>
    <col min="18" max="18" width="11.28515625" style="4" bestFit="1" customWidth="1"/>
    <col min="19" max="23" width="0.85546875" style="4"/>
    <col min="24" max="24" width="7.28515625" style="4" bestFit="1" customWidth="1"/>
    <col min="25" max="16384" width="0.85546875" style="4"/>
  </cols>
  <sheetData>
    <row r="1" spans="1:17" ht="44.1" customHeight="1" x14ac:dyDescent="0.2"/>
    <row r="2" spans="1:17" ht="23.25" customHeight="1" thickBot="1" x14ac:dyDescent="0.25">
      <c r="C2" s="129"/>
      <c r="D2" s="129"/>
      <c r="E2" s="129"/>
      <c r="F2" s="129"/>
      <c r="G2" s="129"/>
      <c r="H2" s="129"/>
      <c r="I2" s="129"/>
      <c r="J2" s="130"/>
      <c r="K2" s="131"/>
      <c r="L2" s="131"/>
      <c r="M2" s="131"/>
      <c r="N2" s="131"/>
    </row>
    <row r="3" spans="1:17" ht="15.95" customHeight="1" thickBot="1" x14ac:dyDescent="0.25">
      <c r="B3" s="162" t="s">
        <v>96</v>
      </c>
      <c r="C3" s="128"/>
      <c r="D3" s="128"/>
      <c r="E3" s="128"/>
      <c r="F3" s="128"/>
      <c r="G3" s="128"/>
      <c r="H3" s="128"/>
      <c r="I3" s="128"/>
      <c r="J3" s="154"/>
      <c r="K3" s="155"/>
      <c r="L3" s="155"/>
      <c r="M3" s="155"/>
      <c r="N3" s="155"/>
      <c r="O3" s="155"/>
      <c r="P3" s="155"/>
      <c r="Q3" s="156"/>
    </row>
    <row r="4" spans="1:17" ht="12" customHeight="1" thickBot="1" x14ac:dyDescent="0.25"/>
    <row r="5" spans="1:17" s="10" customFormat="1" ht="18.95" customHeight="1" thickBot="1" x14ac:dyDescent="0.25">
      <c r="A5" s="7"/>
      <c r="B5" s="8" t="s">
        <v>1</v>
      </c>
      <c r="C5" s="132" t="s">
        <v>2</v>
      </c>
      <c r="D5" s="133" t="s">
        <v>73</v>
      </c>
      <c r="E5" s="133" t="s">
        <v>84</v>
      </c>
      <c r="F5" s="133" t="s">
        <v>85</v>
      </c>
      <c r="G5" s="133" t="s">
        <v>86</v>
      </c>
      <c r="H5" s="133" t="s">
        <v>87</v>
      </c>
      <c r="I5" s="133" t="s">
        <v>88</v>
      </c>
      <c r="J5" s="133" t="s">
        <v>89</v>
      </c>
      <c r="K5" s="134" t="s">
        <v>91</v>
      </c>
      <c r="L5" s="134" t="s">
        <v>92</v>
      </c>
      <c r="M5" s="134" t="s">
        <v>93</v>
      </c>
      <c r="N5" s="134" t="s">
        <v>94</v>
      </c>
      <c r="O5" s="134" t="s">
        <v>95</v>
      </c>
      <c r="P5" s="134" t="s">
        <v>98</v>
      </c>
      <c r="Q5" s="135" t="s">
        <v>99</v>
      </c>
    </row>
    <row r="6" spans="1:17" s="10" customFormat="1" ht="15" customHeight="1" x14ac:dyDescent="0.2">
      <c r="A6" s="7">
        <v>1</v>
      </c>
      <c r="B6" s="11" t="s">
        <v>3</v>
      </c>
      <c r="K6" s="136"/>
      <c r="L6" s="136"/>
      <c r="M6" s="136"/>
      <c r="N6" s="136"/>
    </row>
    <row r="7" spans="1:17" s="10" customFormat="1" ht="15.95" customHeight="1" x14ac:dyDescent="0.15">
      <c r="A7" s="7"/>
      <c r="B7" s="12" t="s">
        <v>83</v>
      </c>
      <c r="C7" s="22">
        <v>67771</v>
      </c>
      <c r="D7" s="22">
        <v>56672</v>
      </c>
      <c r="E7" s="22">
        <v>56610</v>
      </c>
      <c r="F7" s="22">
        <v>68025</v>
      </c>
      <c r="G7" s="22">
        <v>63292</v>
      </c>
      <c r="H7" s="22">
        <v>63302</v>
      </c>
      <c r="I7" s="22">
        <v>62962</v>
      </c>
      <c r="J7" s="22">
        <v>63967</v>
      </c>
      <c r="K7" s="13">
        <v>63327</v>
      </c>
      <c r="L7" s="13">
        <v>58696</v>
      </c>
      <c r="M7" s="13">
        <v>61922</v>
      </c>
      <c r="N7" s="13">
        <v>71190</v>
      </c>
      <c r="O7" s="147">
        <v>67151</v>
      </c>
      <c r="P7" s="157">
        <v>62286</v>
      </c>
      <c r="Q7" s="157">
        <v>58413</v>
      </c>
    </row>
    <row r="8" spans="1:17" s="10" customFormat="1" ht="15.95" customHeight="1" x14ac:dyDescent="0.15">
      <c r="A8" s="7"/>
      <c r="B8" s="14" t="s">
        <v>4</v>
      </c>
      <c r="C8" s="22">
        <f t="shared" ref="C8:H8" si="0">C9+C14</f>
        <v>3501460</v>
      </c>
      <c r="D8" s="22">
        <f t="shared" si="0"/>
        <v>3462076</v>
      </c>
      <c r="E8" s="22">
        <f t="shared" si="0"/>
        <v>3590106</v>
      </c>
      <c r="F8" s="22">
        <f t="shared" si="0"/>
        <v>3885032</v>
      </c>
      <c r="G8" s="22">
        <f t="shared" si="0"/>
        <v>4103829</v>
      </c>
      <c r="H8" s="22">
        <f t="shared" si="0"/>
        <v>4498731</v>
      </c>
      <c r="I8" s="22">
        <f>I9+I14</f>
        <v>5029810</v>
      </c>
      <c r="J8" s="22">
        <f>J9+J14</f>
        <v>5486735</v>
      </c>
      <c r="K8" s="137">
        <v>5646026</v>
      </c>
      <c r="L8" s="137">
        <v>4538219</v>
      </c>
      <c r="M8" s="137">
        <v>4396746</v>
      </c>
      <c r="N8" s="137">
        <v>5258633</v>
      </c>
      <c r="O8" s="137">
        <v>5252696</v>
      </c>
      <c r="P8" s="158">
        <f>+P9+P14</f>
        <v>5147804</v>
      </c>
      <c r="Q8" s="158">
        <f>+Q9+Q14</f>
        <v>4956148</v>
      </c>
    </row>
    <row r="9" spans="1:17" ht="15.95" customHeight="1" x14ac:dyDescent="0.2">
      <c r="B9" s="15" t="s">
        <v>5</v>
      </c>
      <c r="C9" s="22">
        <f t="shared" ref="C9:H9" si="1">SUM(C10:C12)</f>
        <v>27861</v>
      </c>
      <c r="D9" s="22">
        <f t="shared" si="1"/>
        <v>27333</v>
      </c>
      <c r="E9" s="22">
        <f t="shared" si="1"/>
        <v>31311</v>
      </c>
      <c r="F9" s="22">
        <f t="shared" si="1"/>
        <v>159474</v>
      </c>
      <c r="G9" s="22">
        <f t="shared" si="1"/>
        <v>54615</v>
      </c>
      <c r="H9" s="22">
        <f t="shared" si="1"/>
        <v>227783</v>
      </c>
      <c r="I9" s="22">
        <f>SUM(I10:I12)</f>
        <v>151326</v>
      </c>
      <c r="J9" s="22">
        <f>SUM(J10:J12)</f>
        <v>314048</v>
      </c>
      <c r="K9" s="22">
        <f>SUM(K10:K12)</f>
        <v>132237</v>
      </c>
      <c r="L9" s="22">
        <f>SUM(L10:L12)</f>
        <v>57238</v>
      </c>
      <c r="M9" s="22">
        <v>60837</v>
      </c>
      <c r="N9" s="22">
        <f>SUM(N10:N12)</f>
        <v>251217</v>
      </c>
      <c r="O9" s="148">
        <f>SUM(O10:O12)</f>
        <v>89393</v>
      </c>
      <c r="P9" s="159">
        <f>SUM(P10:P12)</f>
        <v>95561</v>
      </c>
      <c r="Q9" s="159">
        <f>SUM(Q10:Q12)</f>
        <v>81758</v>
      </c>
    </row>
    <row r="10" spans="1:17" s="2" customFormat="1" ht="15" customHeight="1" x14ac:dyDescent="0.15">
      <c r="A10" s="1"/>
      <c r="B10" s="17" t="s">
        <v>6</v>
      </c>
      <c r="C10" s="136">
        <v>21699</v>
      </c>
      <c r="D10" s="136">
        <v>21272</v>
      </c>
      <c r="E10" s="136">
        <v>26829</v>
      </c>
      <c r="F10" s="136">
        <f>28732+70741</f>
        <v>99473</v>
      </c>
      <c r="G10" s="136">
        <v>46952</v>
      </c>
      <c r="H10" s="136">
        <v>45696</v>
      </c>
      <c r="I10" s="136">
        <v>51287</v>
      </c>
      <c r="J10" s="136">
        <f>74057+2012</f>
        <v>76069</v>
      </c>
      <c r="K10" s="136">
        <v>100569</v>
      </c>
      <c r="L10" s="136">
        <v>39238</v>
      </c>
      <c r="M10" s="136">
        <v>60837</v>
      </c>
      <c r="N10" s="136">
        <v>52049</v>
      </c>
      <c r="O10" s="149">
        <v>38833</v>
      </c>
      <c r="P10" s="160">
        <v>56063</v>
      </c>
      <c r="Q10" s="160">
        <v>52549</v>
      </c>
    </row>
    <row r="11" spans="1:17" s="2" customFormat="1" ht="15" customHeight="1" x14ac:dyDescent="0.15">
      <c r="A11" s="1"/>
      <c r="B11" s="17" t="s">
        <v>7</v>
      </c>
      <c r="C11" s="136">
        <v>6162</v>
      </c>
      <c r="D11" s="136">
        <v>6061</v>
      </c>
      <c r="E11" s="136">
        <v>4482</v>
      </c>
      <c r="F11" s="136">
        <v>60001</v>
      </c>
      <c r="G11" s="136">
        <v>7663</v>
      </c>
      <c r="H11" s="136">
        <v>182087</v>
      </c>
      <c r="I11" s="136">
        <v>100039</v>
      </c>
      <c r="J11" s="136">
        <v>237979</v>
      </c>
      <c r="K11" s="136">
        <v>31668</v>
      </c>
      <c r="L11" s="136">
        <v>18000</v>
      </c>
      <c r="M11" s="138">
        <v>0</v>
      </c>
      <c r="N11" s="138">
        <v>199168</v>
      </c>
      <c r="O11" s="146">
        <v>50560</v>
      </c>
      <c r="P11" s="161">
        <v>39498</v>
      </c>
      <c r="Q11" s="161">
        <v>29209</v>
      </c>
    </row>
    <row r="12" spans="1:17" s="2" customFormat="1" ht="15" customHeight="1" x14ac:dyDescent="0.15">
      <c r="A12" s="1"/>
      <c r="B12" s="17" t="s">
        <v>8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/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46">
        <v>0</v>
      </c>
      <c r="P12" s="146">
        <v>0</v>
      </c>
      <c r="Q12" s="146">
        <v>0</v>
      </c>
    </row>
    <row r="13" spans="1:17" s="10" customFormat="1" ht="15" customHeight="1" x14ac:dyDescent="0.15">
      <c r="A13" s="7"/>
      <c r="B13" s="20"/>
      <c r="K13" s="136"/>
      <c r="L13" s="136"/>
      <c r="M13" s="136"/>
      <c r="N13" s="136"/>
      <c r="O13" s="149"/>
      <c r="P13" s="149"/>
      <c r="Q13" s="149"/>
    </row>
    <row r="14" spans="1:17" ht="15.95" customHeight="1" x14ac:dyDescent="0.2">
      <c r="B14" s="15" t="s">
        <v>9</v>
      </c>
      <c r="C14" s="16">
        <f t="shared" ref="C14:D14" si="2">SUM(C15:C19)</f>
        <v>3473599</v>
      </c>
      <c r="D14" s="16">
        <f t="shared" si="2"/>
        <v>3434743</v>
      </c>
      <c r="E14" s="16">
        <f t="shared" ref="E14:K14" si="3">SUM(E15:E19)</f>
        <v>3558795</v>
      </c>
      <c r="F14" s="16">
        <f t="shared" si="3"/>
        <v>3725558</v>
      </c>
      <c r="G14" s="16">
        <f t="shared" si="3"/>
        <v>4049214</v>
      </c>
      <c r="H14" s="16">
        <f t="shared" si="3"/>
        <v>4270948</v>
      </c>
      <c r="I14" s="16">
        <f t="shared" si="3"/>
        <v>4878484</v>
      </c>
      <c r="J14" s="22">
        <f t="shared" si="3"/>
        <v>5172687</v>
      </c>
      <c r="K14" s="22">
        <f t="shared" si="3"/>
        <v>5513789</v>
      </c>
      <c r="L14" s="22">
        <f>SUM(L15:L19)</f>
        <v>4480981</v>
      </c>
      <c r="M14" s="22">
        <v>4335909</v>
      </c>
      <c r="N14" s="22">
        <f>SUM(N15:N19)</f>
        <v>5007416</v>
      </c>
      <c r="O14" s="148">
        <f>SUM(O15:O19)</f>
        <v>5163303</v>
      </c>
      <c r="P14" s="148">
        <f>SUM(P15:P19)</f>
        <v>5052243</v>
      </c>
      <c r="Q14" s="148">
        <f>SUM(Q15:Q19)</f>
        <v>4874390</v>
      </c>
    </row>
    <row r="15" spans="1:17" s="2" customFormat="1" ht="15" customHeight="1" x14ac:dyDescent="0.15">
      <c r="A15" s="1"/>
      <c r="B15" s="21" t="s">
        <v>10</v>
      </c>
      <c r="C15" s="136">
        <v>2431322</v>
      </c>
      <c r="D15" s="136">
        <v>2474005</v>
      </c>
      <c r="E15" s="136">
        <v>2579650</v>
      </c>
      <c r="F15" s="136">
        <v>2716001</v>
      </c>
      <c r="G15" s="136">
        <v>2893126</v>
      </c>
      <c r="H15" s="136">
        <v>3014409</v>
      </c>
      <c r="I15" s="136">
        <v>3656523</v>
      </c>
      <c r="J15" s="136">
        <v>3592552</v>
      </c>
      <c r="K15" s="136">
        <v>3460144</v>
      </c>
      <c r="L15" s="136">
        <v>2815809</v>
      </c>
      <c r="M15" s="136">
        <v>2929935</v>
      </c>
      <c r="N15" s="136">
        <v>3219685</v>
      </c>
      <c r="O15" s="149">
        <v>3214403</v>
      </c>
      <c r="P15" s="149">
        <v>3221463</v>
      </c>
      <c r="Q15" s="149">
        <v>2964088</v>
      </c>
    </row>
    <row r="16" spans="1:17" s="2" customFormat="1" ht="15" customHeight="1" x14ac:dyDescent="0.15">
      <c r="A16" s="1"/>
      <c r="B16" s="17" t="s">
        <v>11</v>
      </c>
      <c r="C16" s="136">
        <v>1042277</v>
      </c>
      <c r="D16" s="136">
        <v>960738</v>
      </c>
      <c r="E16" s="136">
        <v>979145</v>
      </c>
      <c r="F16" s="136">
        <v>1009557</v>
      </c>
      <c r="G16" s="136">
        <v>1156088</v>
      </c>
      <c r="H16" s="136">
        <v>1256539</v>
      </c>
      <c r="I16" s="136">
        <v>1221961</v>
      </c>
      <c r="J16" s="136">
        <v>1580135</v>
      </c>
      <c r="K16" s="136">
        <v>2053645</v>
      </c>
      <c r="L16" s="136">
        <v>1665172</v>
      </c>
      <c r="M16" s="136">
        <v>1405974</v>
      </c>
      <c r="N16" s="136">
        <v>1787731</v>
      </c>
      <c r="O16" s="149">
        <v>1948900</v>
      </c>
      <c r="P16" s="149">
        <v>1830780</v>
      </c>
      <c r="Q16" s="149">
        <v>1910302</v>
      </c>
    </row>
    <row r="17" spans="1:17" s="2" customFormat="1" ht="15" customHeight="1" x14ac:dyDescent="0.15">
      <c r="A17" s="1"/>
      <c r="B17" s="17" t="s">
        <v>8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46">
        <v>0</v>
      </c>
      <c r="P17" s="146">
        <v>0</v>
      </c>
      <c r="Q17" s="146">
        <v>0</v>
      </c>
    </row>
    <row r="18" spans="1:17" ht="15" customHeight="1" x14ac:dyDescent="0.2">
      <c r="B18" s="21" t="s">
        <v>77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46">
        <v>0</v>
      </c>
      <c r="P18" s="146">
        <v>0</v>
      </c>
      <c r="Q18" s="146">
        <v>0</v>
      </c>
    </row>
    <row r="19" spans="1:17" ht="15" customHeight="1" x14ac:dyDescent="0.2">
      <c r="B19" s="21" t="s">
        <v>78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46">
        <v>0</v>
      </c>
      <c r="P19" s="146">
        <v>0</v>
      </c>
      <c r="Q19" s="146">
        <v>0</v>
      </c>
    </row>
    <row r="20" spans="1:17" ht="15" customHeight="1" x14ac:dyDescent="0.2">
      <c r="B20" s="20"/>
      <c r="J20" s="10"/>
      <c r="K20" s="136"/>
      <c r="L20" s="136"/>
      <c r="M20" s="136"/>
      <c r="N20" s="136"/>
      <c r="O20" s="149"/>
      <c r="P20" s="149"/>
      <c r="Q20" s="149"/>
    </row>
    <row r="21" spans="1:17" s="10" customFormat="1" ht="15.95" customHeight="1" x14ac:dyDescent="0.15">
      <c r="A21" s="7">
        <v>2</v>
      </c>
      <c r="B21" s="12" t="s">
        <v>13</v>
      </c>
      <c r="C21" s="22">
        <f>3045115</f>
        <v>3045115</v>
      </c>
      <c r="D21" s="22">
        <f t="shared" ref="D21:I21" si="4">D22+D31</f>
        <v>2953946</v>
      </c>
      <c r="E21" s="22">
        <f t="shared" si="4"/>
        <v>2812584</v>
      </c>
      <c r="F21" s="22">
        <f t="shared" si="4"/>
        <v>2997014</v>
      </c>
      <c r="G21" s="22">
        <f t="shared" si="4"/>
        <v>2962126</v>
      </c>
      <c r="H21" s="22">
        <f t="shared" si="4"/>
        <v>2900533</v>
      </c>
      <c r="I21" s="22">
        <f t="shared" si="4"/>
        <v>2926158</v>
      </c>
      <c r="J21" s="22">
        <f>J22+J31</f>
        <v>2903458</v>
      </c>
      <c r="K21" s="22">
        <f>K22+K31</f>
        <v>2828318</v>
      </c>
      <c r="L21" s="22">
        <f>L22+L31</f>
        <v>3121265</v>
      </c>
      <c r="M21" s="22">
        <v>3175498</v>
      </c>
      <c r="N21" s="22">
        <f>N22+N31</f>
        <v>3228370</v>
      </c>
      <c r="O21" s="148">
        <f>O22+O31</f>
        <v>3215290</v>
      </c>
      <c r="P21" s="148">
        <f>P22+P31</f>
        <v>3296627</v>
      </c>
      <c r="Q21" s="148">
        <f>Q22+Q31</f>
        <v>3334442</v>
      </c>
    </row>
    <row r="22" spans="1:17" s="24" customFormat="1" ht="15.95" customHeight="1" x14ac:dyDescent="0.2">
      <c r="A22" s="23"/>
      <c r="B22" s="15" t="s">
        <v>5</v>
      </c>
      <c r="C22" s="22">
        <f t="shared" ref="C22:F22" si="5">SUM(C23:C29)</f>
        <v>13118</v>
      </c>
      <c r="D22" s="22">
        <f t="shared" si="5"/>
        <v>12584</v>
      </c>
      <c r="E22" s="22">
        <f t="shared" si="5"/>
        <v>12541</v>
      </c>
      <c r="F22" s="22">
        <f t="shared" si="5"/>
        <v>11593</v>
      </c>
      <c r="G22" s="22">
        <f t="shared" ref="G22:L22" si="6">SUM(G23:G29)</f>
        <v>11563</v>
      </c>
      <c r="H22" s="22">
        <f t="shared" si="6"/>
        <v>10839</v>
      </c>
      <c r="I22" s="22">
        <f t="shared" si="6"/>
        <v>10820</v>
      </c>
      <c r="J22" s="22">
        <f t="shared" si="6"/>
        <v>10019</v>
      </c>
      <c r="K22" s="22">
        <f t="shared" si="6"/>
        <v>9833</v>
      </c>
      <c r="L22" s="22">
        <f t="shared" si="6"/>
        <v>10768</v>
      </c>
      <c r="M22" s="22">
        <v>11769</v>
      </c>
      <c r="N22" s="22">
        <f>SUM(N23:N29)</f>
        <v>15800</v>
      </c>
      <c r="O22" s="148">
        <f>SUM(O23:O29)</f>
        <v>15716</v>
      </c>
      <c r="P22" s="148">
        <f>SUM(P23:P29)</f>
        <v>15652</v>
      </c>
      <c r="Q22" s="148">
        <f>SUM(Q23:Q29)</f>
        <v>15488</v>
      </c>
    </row>
    <row r="23" spans="1:17" s="2" customFormat="1" ht="15" customHeight="1" x14ac:dyDescent="0.15">
      <c r="A23" s="1"/>
      <c r="B23" s="2" t="s">
        <v>14</v>
      </c>
      <c r="C23" s="136">
        <v>13118</v>
      </c>
      <c r="D23" s="136">
        <v>12584</v>
      </c>
      <c r="E23" s="136">
        <v>12541</v>
      </c>
      <c r="F23" s="136">
        <v>11593</v>
      </c>
      <c r="G23" s="136">
        <v>11563</v>
      </c>
      <c r="H23" s="136">
        <v>10839</v>
      </c>
      <c r="I23" s="136">
        <v>10820</v>
      </c>
      <c r="J23" s="136">
        <v>10019</v>
      </c>
      <c r="K23" s="136">
        <v>9833</v>
      </c>
      <c r="L23" s="136">
        <v>10768</v>
      </c>
      <c r="M23" s="136">
        <v>10676</v>
      </c>
      <c r="N23" s="136">
        <v>15728</v>
      </c>
      <c r="O23" s="149">
        <v>15644</v>
      </c>
      <c r="P23" s="149">
        <v>15580</v>
      </c>
      <c r="Q23" s="149">
        <v>15488</v>
      </c>
    </row>
    <row r="24" spans="1:17" s="2" customFormat="1" ht="15" customHeight="1" x14ac:dyDescent="0.15">
      <c r="A24" s="1"/>
      <c r="B24" s="2" t="s">
        <v>15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46">
        <v>0</v>
      </c>
      <c r="P24" s="146">
        <v>0</v>
      </c>
      <c r="Q24" s="146">
        <v>0</v>
      </c>
    </row>
    <row r="25" spans="1:17" s="2" customFormat="1" ht="15" customHeight="1" x14ac:dyDescent="0.15">
      <c r="A25" s="1"/>
      <c r="B25" s="2" t="s">
        <v>16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72</v>
      </c>
      <c r="O25" s="146">
        <v>72</v>
      </c>
      <c r="P25" s="146">
        <v>72</v>
      </c>
      <c r="Q25" s="146">
        <v>0</v>
      </c>
    </row>
    <row r="26" spans="1:17" s="2" customFormat="1" ht="15" customHeight="1" x14ac:dyDescent="0.15">
      <c r="A26" s="1"/>
      <c r="B26" s="17" t="s">
        <v>6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46">
        <v>0</v>
      </c>
      <c r="P26" s="146">
        <v>0</v>
      </c>
      <c r="Q26" s="146">
        <v>0</v>
      </c>
    </row>
    <row r="27" spans="1:17" s="2" customFormat="1" ht="15" customHeight="1" x14ac:dyDescent="0.15">
      <c r="A27" s="1"/>
      <c r="B27" s="2" t="s">
        <v>17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46">
        <v>0</v>
      </c>
      <c r="P27" s="146">
        <v>0</v>
      </c>
      <c r="Q27" s="146">
        <v>0</v>
      </c>
    </row>
    <row r="28" spans="1:17" s="2" customFormat="1" ht="15" customHeight="1" x14ac:dyDescent="0.15">
      <c r="A28" s="1"/>
      <c r="B28" s="17" t="s">
        <v>8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1093</v>
      </c>
      <c r="N28" s="138">
        <v>0</v>
      </c>
      <c r="O28" s="146">
        <v>0</v>
      </c>
      <c r="P28" s="146">
        <v>0</v>
      </c>
      <c r="Q28" s="146">
        <v>0</v>
      </c>
    </row>
    <row r="29" spans="1:17" s="2" customFormat="1" ht="15" customHeight="1" x14ac:dyDescent="0.15">
      <c r="A29" s="1"/>
      <c r="B29" s="17" t="s">
        <v>18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46">
        <v>0</v>
      </c>
      <c r="P29" s="146">
        <v>0</v>
      </c>
      <c r="Q29" s="146">
        <v>0</v>
      </c>
    </row>
    <row r="30" spans="1:17" s="10" customFormat="1" ht="15" customHeight="1" x14ac:dyDescent="0.15">
      <c r="A30" s="7"/>
      <c r="B30" s="25"/>
      <c r="K30" s="136"/>
      <c r="L30" s="136"/>
      <c r="M30" s="136"/>
      <c r="N30" s="136"/>
      <c r="O30" s="149"/>
      <c r="P30" s="149"/>
      <c r="Q30" s="149"/>
    </row>
    <row r="31" spans="1:17" ht="15.95" customHeight="1" x14ac:dyDescent="0.2">
      <c r="B31" s="15" t="s">
        <v>9</v>
      </c>
      <c r="C31" s="16">
        <v>3031997</v>
      </c>
      <c r="D31" s="16">
        <f t="shared" ref="D31:I31" si="7">SUM(D32:D36)</f>
        <v>2941362</v>
      </c>
      <c r="E31" s="16">
        <f t="shared" si="7"/>
        <v>2800043</v>
      </c>
      <c r="F31" s="16">
        <f t="shared" si="7"/>
        <v>2985421</v>
      </c>
      <c r="G31" s="16">
        <f t="shared" si="7"/>
        <v>2950563</v>
      </c>
      <c r="H31" s="16">
        <f t="shared" si="7"/>
        <v>2889694</v>
      </c>
      <c r="I31" s="16">
        <f t="shared" si="7"/>
        <v>2915338</v>
      </c>
      <c r="J31" s="22">
        <f>SUM(J32:J36)</f>
        <v>2893439</v>
      </c>
      <c r="K31" s="22">
        <f>SUM(K32:K36)</f>
        <v>2818485</v>
      </c>
      <c r="L31" s="22">
        <f>SUM(L32:L36)</f>
        <v>3110497</v>
      </c>
      <c r="M31" s="22">
        <v>3163729</v>
      </c>
      <c r="N31" s="22">
        <f>SUM(N32:N36)</f>
        <v>3212570</v>
      </c>
      <c r="O31" s="148">
        <f>SUM(O32:O36)</f>
        <v>3199574</v>
      </c>
      <c r="P31" s="148">
        <f>SUM(P32:P36)</f>
        <v>3280975</v>
      </c>
      <c r="Q31" s="148">
        <f>SUM(Q32:Q36)</f>
        <v>3318954</v>
      </c>
    </row>
    <row r="32" spans="1:17" s="2" customFormat="1" ht="15" customHeight="1" x14ac:dyDescent="0.15">
      <c r="A32" s="1"/>
      <c r="B32" s="21" t="s">
        <v>10</v>
      </c>
      <c r="C32" s="139">
        <v>303781</v>
      </c>
      <c r="D32" s="139">
        <v>294592</v>
      </c>
      <c r="E32" s="139">
        <f>34085+298224</f>
        <v>332309</v>
      </c>
      <c r="F32" s="139">
        <v>290947</v>
      </c>
      <c r="G32" s="139">
        <v>298688</v>
      </c>
      <c r="H32" s="139">
        <v>309175</v>
      </c>
      <c r="I32" s="139">
        <v>304003</v>
      </c>
      <c r="J32" s="139">
        <v>315974</v>
      </c>
      <c r="K32" s="139">
        <v>313247</v>
      </c>
      <c r="L32" s="139">
        <v>495230</v>
      </c>
      <c r="M32" s="139">
        <v>637000</v>
      </c>
      <c r="N32" s="139">
        <v>673486</v>
      </c>
      <c r="O32" s="150">
        <v>670917</v>
      </c>
      <c r="P32" s="150">
        <v>668188</v>
      </c>
      <c r="Q32" s="150">
        <v>658797</v>
      </c>
    </row>
    <row r="33" spans="1:17" s="2" customFormat="1" ht="15" customHeight="1" x14ac:dyDescent="0.15">
      <c r="A33" s="1"/>
      <c r="B33" s="17" t="s">
        <v>11</v>
      </c>
      <c r="C33" s="136">
        <f>610680+1453</f>
        <v>612133</v>
      </c>
      <c r="D33" s="136">
        <v>662066</v>
      </c>
      <c r="E33" s="136">
        <v>686888</v>
      </c>
      <c r="F33" s="136">
        <v>714906</v>
      </c>
      <c r="G33" s="136">
        <v>674078</v>
      </c>
      <c r="H33" s="136">
        <v>582498</v>
      </c>
      <c r="I33" s="136">
        <v>648473</v>
      </c>
      <c r="J33" s="136">
        <v>556527</v>
      </c>
      <c r="K33" s="136">
        <v>480212</v>
      </c>
      <c r="L33" s="136">
        <v>471256</v>
      </c>
      <c r="M33" s="136">
        <v>440425</v>
      </c>
      <c r="N33" s="136">
        <v>401947</v>
      </c>
      <c r="O33" s="149">
        <v>373486</v>
      </c>
      <c r="P33" s="149">
        <v>318833</v>
      </c>
      <c r="Q33" s="149">
        <v>266226</v>
      </c>
    </row>
    <row r="34" spans="1:17" s="2" customFormat="1" ht="15" customHeight="1" x14ac:dyDescent="0.15">
      <c r="A34" s="1"/>
      <c r="B34" s="17" t="s">
        <v>8</v>
      </c>
      <c r="C34" s="136">
        <v>150954</v>
      </c>
      <c r="D34" s="136">
        <v>39166</v>
      </c>
      <c r="E34" s="136">
        <v>41263</v>
      </c>
      <c r="F34" s="136">
        <v>34195</v>
      </c>
      <c r="G34" s="136">
        <v>44827</v>
      </c>
      <c r="H34" s="136">
        <v>95679</v>
      </c>
      <c r="I34" s="136">
        <v>49264</v>
      </c>
      <c r="J34" s="136">
        <v>57020</v>
      </c>
      <c r="K34" s="136">
        <v>139576</v>
      </c>
      <c r="L34" s="136">
        <v>106569</v>
      </c>
      <c r="M34" s="136">
        <v>117942</v>
      </c>
      <c r="N34" s="136">
        <v>106534</v>
      </c>
      <c r="O34" s="149">
        <v>142770</v>
      </c>
      <c r="P34" s="149">
        <v>104903</v>
      </c>
      <c r="Q34" s="149">
        <v>138498</v>
      </c>
    </row>
    <row r="35" spans="1:17" s="2" customFormat="1" ht="15" customHeight="1" x14ac:dyDescent="0.15">
      <c r="A35" s="1"/>
      <c r="B35" s="17" t="s">
        <v>77</v>
      </c>
      <c r="C35" s="136">
        <v>211179</v>
      </c>
      <c r="D35" s="136">
        <v>197210</v>
      </c>
      <c r="E35" s="136">
        <v>178170</v>
      </c>
      <c r="F35" s="136">
        <v>164362</v>
      </c>
      <c r="G35" s="136">
        <v>170716</v>
      </c>
      <c r="H35" s="136">
        <v>167657</v>
      </c>
      <c r="I35" s="136">
        <v>160981</v>
      </c>
      <c r="J35" s="136">
        <v>157842</v>
      </c>
      <c r="K35" s="136">
        <v>71921</v>
      </c>
      <c r="L35" s="136">
        <v>97960</v>
      </c>
      <c r="M35" s="136">
        <v>180706</v>
      </c>
      <c r="N35" s="136">
        <v>181360</v>
      </c>
      <c r="O35" s="149">
        <v>180139</v>
      </c>
      <c r="P35" s="149">
        <v>248951</v>
      </c>
      <c r="Q35" s="149">
        <v>189959</v>
      </c>
    </row>
    <row r="36" spans="1:17" s="2" customFormat="1" ht="15" customHeight="1" x14ac:dyDescent="0.15">
      <c r="A36" s="1"/>
      <c r="B36" s="17" t="s">
        <v>82</v>
      </c>
      <c r="C36" s="136">
        <v>1753950</v>
      </c>
      <c r="D36" s="136">
        <v>1748328</v>
      </c>
      <c r="E36" s="136">
        <v>1561413</v>
      </c>
      <c r="F36" s="136">
        <v>1781011</v>
      </c>
      <c r="G36" s="136">
        <v>1762254</v>
      </c>
      <c r="H36" s="136">
        <v>1734685</v>
      </c>
      <c r="I36" s="136">
        <v>1752617</v>
      </c>
      <c r="J36" s="136">
        <v>1806076</v>
      </c>
      <c r="K36" s="136">
        <v>1813529</v>
      </c>
      <c r="L36" s="136">
        <v>1939482</v>
      </c>
      <c r="M36" s="136">
        <v>1781656</v>
      </c>
      <c r="N36" s="136">
        <v>1849243</v>
      </c>
      <c r="O36" s="149">
        <v>1832262</v>
      </c>
      <c r="P36" s="149">
        <v>1940100</v>
      </c>
      <c r="Q36" s="149">
        <v>2065474</v>
      </c>
    </row>
    <row r="37" spans="1:17" ht="12" customHeight="1" x14ac:dyDescent="0.2">
      <c r="B37" s="27"/>
      <c r="C37" s="18"/>
      <c r="D37" s="18"/>
      <c r="E37" s="18"/>
      <c r="F37" s="18"/>
      <c r="G37" s="18"/>
      <c r="H37" s="18"/>
      <c r="I37" s="18"/>
      <c r="J37" s="136"/>
      <c r="K37" s="136"/>
      <c r="L37" s="136"/>
      <c r="M37" s="136"/>
      <c r="N37" s="136"/>
      <c r="O37" s="149"/>
      <c r="P37" s="149"/>
      <c r="Q37" s="149"/>
    </row>
    <row r="38" spans="1:17" s="10" customFormat="1" ht="15.95" customHeight="1" x14ac:dyDescent="0.15">
      <c r="A38" s="7">
        <v>3</v>
      </c>
      <c r="B38" s="12" t="s">
        <v>19</v>
      </c>
      <c r="C38" s="22">
        <f t="shared" ref="C38:F38" si="8">C39+C46</f>
        <v>83720</v>
      </c>
      <c r="D38" s="22">
        <f t="shared" si="8"/>
        <v>83719</v>
      </c>
      <c r="E38" s="22">
        <f t="shared" si="8"/>
        <v>88470</v>
      </c>
      <c r="F38" s="22">
        <f t="shared" si="8"/>
        <v>88069</v>
      </c>
      <c r="G38" s="22">
        <f t="shared" ref="G38:L38" si="9">G39+G46</f>
        <v>88168</v>
      </c>
      <c r="H38" s="22">
        <f t="shared" si="9"/>
        <v>88217</v>
      </c>
      <c r="I38" s="22">
        <f t="shared" si="9"/>
        <v>88068</v>
      </c>
      <c r="J38" s="22">
        <f t="shared" si="9"/>
        <v>88264</v>
      </c>
      <c r="K38" s="22">
        <f t="shared" si="9"/>
        <v>88264</v>
      </c>
      <c r="L38" s="22">
        <f t="shared" si="9"/>
        <v>126513</v>
      </c>
      <c r="M38" s="22">
        <v>88111</v>
      </c>
      <c r="N38" s="22">
        <f>N39+N46</f>
        <v>88259</v>
      </c>
      <c r="O38" s="148">
        <f>O39+O46</f>
        <v>260863</v>
      </c>
      <c r="P38" s="148">
        <f>P39+P46</f>
        <v>491040</v>
      </c>
      <c r="Q38" s="148">
        <f>Q39+Q46</f>
        <v>457683</v>
      </c>
    </row>
    <row r="39" spans="1:17" s="10" customFormat="1" ht="15.95" customHeight="1" x14ac:dyDescent="0.15">
      <c r="A39" s="7"/>
      <c r="B39" s="15" t="s">
        <v>5</v>
      </c>
      <c r="C39" s="22">
        <f t="shared" ref="C39:F39" si="10">SUM(C40:C44)</f>
        <v>6041</v>
      </c>
      <c r="D39" s="22">
        <f t="shared" si="10"/>
        <v>6041</v>
      </c>
      <c r="E39" s="22">
        <f t="shared" si="10"/>
        <v>10793</v>
      </c>
      <c r="F39" s="22">
        <f t="shared" si="10"/>
        <v>10392</v>
      </c>
      <c r="G39" s="22">
        <f t="shared" ref="G39:L39" si="11">SUM(G40:G44)</f>
        <v>10491</v>
      </c>
      <c r="H39" s="22">
        <f t="shared" si="11"/>
        <v>10540</v>
      </c>
      <c r="I39" s="22">
        <f t="shared" si="11"/>
        <v>10392</v>
      </c>
      <c r="J39" s="22">
        <f t="shared" si="11"/>
        <v>10590</v>
      </c>
      <c r="K39" s="22">
        <f t="shared" si="11"/>
        <v>10590</v>
      </c>
      <c r="L39" s="22">
        <f t="shared" si="11"/>
        <v>48844</v>
      </c>
      <c r="M39" s="22">
        <v>10442</v>
      </c>
      <c r="N39" s="22">
        <f>SUM(N40:N44)</f>
        <v>10590</v>
      </c>
      <c r="O39" s="22">
        <f>SUM(O40:O44)</f>
        <v>10491</v>
      </c>
      <c r="P39" s="22">
        <f>SUM(P40:P44)</f>
        <v>10590</v>
      </c>
      <c r="Q39" s="22">
        <f>SUM(Q40:Q44)</f>
        <v>10639</v>
      </c>
    </row>
    <row r="40" spans="1:17" s="2" customFormat="1" ht="15" customHeight="1" x14ac:dyDescent="0.15">
      <c r="A40" s="1"/>
      <c r="B40" s="2" t="s">
        <v>16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v>0</v>
      </c>
    </row>
    <row r="41" spans="1:17" s="2" customFormat="1" ht="15" customHeight="1" x14ac:dyDescent="0.15">
      <c r="A41" s="1"/>
      <c r="B41" s="17" t="s">
        <v>6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38353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</row>
    <row r="42" spans="1:17" s="2" customFormat="1" ht="15" customHeight="1" x14ac:dyDescent="0.15">
      <c r="A42" s="1"/>
      <c r="B42" s="17" t="s">
        <v>20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v>0</v>
      </c>
    </row>
    <row r="43" spans="1:17" s="2" customFormat="1" ht="15" customHeight="1" x14ac:dyDescent="0.15">
      <c r="A43" s="1"/>
      <c r="B43" s="17" t="s">
        <v>8</v>
      </c>
      <c r="C43" s="138">
        <v>5941</v>
      </c>
      <c r="D43" s="138">
        <v>5941</v>
      </c>
      <c r="E43" s="138">
        <v>10693</v>
      </c>
      <c r="F43" s="138">
        <v>10292</v>
      </c>
      <c r="G43" s="138">
        <v>10391</v>
      </c>
      <c r="H43" s="138">
        <v>10440</v>
      </c>
      <c r="I43" s="138">
        <v>10292</v>
      </c>
      <c r="J43" s="138">
        <v>10490</v>
      </c>
      <c r="K43" s="136">
        <v>10490</v>
      </c>
      <c r="L43" s="136">
        <v>10391</v>
      </c>
      <c r="M43" s="138">
        <v>10342</v>
      </c>
      <c r="N43" s="138">
        <v>10490</v>
      </c>
      <c r="O43" s="138">
        <v>10391</v>
      </c>
      <c r="P43" s="138">
        <v>10490</v>
      </c>
      <c r="Q43" s="138">
        <v>10539</v>
      </c>
    </row>
    <row r="44" spans="1:17" s="2" customFormat="1" ht="15" customHeight="1" x14ac:dyDescent="0.15">
      <c r="A44" s="1"/>
      <c r="B44" s="17" t="s">
        <v>21</v>
      </c>
      <c r="C44" s="138">
        <v>100</v>
      </c>
      <c r="D44" s="138">
        <v>100</v>
      </c>
      <c r="E44" s="138">
        <v>100</v>
      </c>
      <c r="F44" s="138">
        <v>100</v>
      </c>
      <c r="G44" s="138">
        <v>100</v>
      </c>
      <c r="H44" s="138">
        <v>100</v>
      </c>
      <c r="I44" s="138">
        <v>100</v>
      </c>
      <c r="J44" s="138">
        <v>100</v>
      </c>
      <c r="K44" s="136">
        <v>100</v>
      </c>
      <c r="L44" s="136">
        <v>100</v>
      </c>
      <c r="M44" s="138">
        <v>100</v>
      </c>
      <c r="N44" s="138">
        <v>100</v>
      </c>
      <c r="O44" s="138">
        <v>100</v>
      </c>
      <c r="P44" s="138">
        <v>100</v>
      </c>
      <c r="Q44" s="138">
        <v>100</v>
      </c>
    </row>
    <row r="45" spans="1:17" s="10" customFormat="1" ht="6" customHeight="1" x14ac:dyDescent="0.15">
      <c r="A45" s="7"/>
      <c r="B45" s="20"/>
      <c r="C45" s="2"/>
      <c r="D45" s="2"/>
      <c r="E45" s="2"/>
      <c r="F45" s="2"/>
      <c r="G45" s="2"/>
      <c r="H45" s="2"/>
      <c r="I45" s="2"/>
      <c r="K45" s="136"/>
      <c r="L45" s="136"/>
      <c r="M45" s="136"/>
      <c r="N45" s="136"/>
      <c r="O45" s="136"/>
      <c r="P45" s="136"/>
      <c r="Q45" s="136"/>
    </row>
    <row r="46" spans="1:17" s="10" customFormat="1" ht="18" customHeight="1" x14ac:dyDescent="0.15">
      <c r="A46" s="7"/>
      <c r="B46" s="15" t="s">
        <v>9</v>
      </c>
      <c r="C46" s="16">
        <f t="shared" ref="C46:H46" si="12">SUM(C47:C51)</f>
        <v>77679</v>
      </c>
      <c r="D46" s="16">
        <f t="shared" si="12"/>
        <v>77678</v>
      </c>
      <c r="E46" s="16">
        <f t="shared" si="12"/>
        <v>77677</v>
      </c>
      <c r="F46" s="16">
        <f t="shared" si="12"/>
        <v>77677</v>
      </c>
      <c r="G46" s="16">
        <f t="shared" si="12"/>
        <v>77677</v>
      </c>
      <c r="H46" s="16">
        <f t="shared" si="12"/>
        <v>77677</v>
      </c>
      <c r="I46" s="16">
        <f>SUM(I47:I51)</f>
        <v>77676</v>
      </c>
      <c r="J46" s="22">
        <f>SUM(J47:J51)</f>
        <v>77674</v>
      </c>
      <c r="K46" s="22">
        <f>SUM(K47:K51)</f>
        <v>77674</v>
      </c>
      <c r="L46" s="22">
        <f>SUM(L47:L51)</f>
        <v>77669</v>
      </c>
      <c r="M46" s="22">
        <v>77669</v>
      </c>
      <c r="N46" s="148">
        <f>SUM(N47:N51)</f>
        <v>77669</v>
      </c>
      <c r="O46" s="148">
        <f>SUM(O47:O51)</f>
        <v>250372</v>
      </c>
      <c r="P46" s="148">
        <f>SUM(P47:P51)</f>
        <v>480450</v>
      </c>
      <c r="Q46" s="22">
        <f>SUM(Q47:Q51)</f>
        <v>447044</v>
      </c>
    </row>
    <row r="47" spans="1:17" s="2" customFormat="1" ht="15" customHeight="1" x14ac:dyDescent="0.15">
      <c r="A47" s="1"/>
      <c r="B47" s="21" t="s">
        <v>10</v>
      </c>
      <c r="C47" s="138">
        <v>77623</v>
      </c>
      <c r="D47" s="138">
        <v>77623</v>
      </c>
      <c r="E47" s="138">
        <v>77623</v>
      </c>
      <c r="F47" s="138">
        <v>77623</v>
      </c>
      <c r="G47" s="138">
        <v>77623</v>
      </c>
      <c r="H47" s="138">
        <v>77623</v>
      </c>
      <c r="I47" s="138">
        <v>77623</v>
      </c>
      <c r="J47" s="138">
        <v>77623</v>
      </c>
      <c r="K47" s="136">
        <v>77623</v>
      </c>
      <c r="L47" s="150">
        <v>77623</v>
      </c>
      <c r="M47" s="136">
        <v>77623</v>
      </c>
      <c r="N47" s="150">
        <v>77623</v>
      </c>
      <c r="O47" s="150">
        <v>77623</v>
      </c>
      <c r="P47" s="150">
        <v>77623</v>
      </c>
      <c r="Q47" s="138">
        <v>77623</v>
      </c>
    </row>
    <row r="48" spans="1:17" s="29" customFormat="1" ht="15" customHeight="1" x14ac:dyDescent="0.15">
      <c r="A48" s="28"/>
      <c r="B48" s="17" t="s">
        <v>11</v>
      </c>
      <c r="C48" s="138">
        <f>1453-1453</f>
        <v>0</v>
      </c>
      <c r="D48" s="138">
        <f>1453-1453</f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64">
        <v>0</v>
      </c>
      <c r="M48" s="138">
        <v>0</v>
      </c>
      <c r="N48" s="138">
        <v>0</v>
      </c>
      <c r="O48" s="149">
        <v>4501</v>
      </c>
      <c r="P48" s="149">
        <v>49018</v>
      </c>
      <c r="Q48" s="138">
        <v>12999</v>
      </c>
    </row>
    <row r="49" spans="1:24" s="29" customFormat="1" ht="15" customHeight="1" x14ac:dyDescent="0.15">
      <c r="A49" s="28"/>
      <c r="B49" s="17" t="s">
        <v>8</v>
      </c>
      <c r="C49" s="138">
        <v>56</v>
      </c>
      <c r="D49" s="138">
        <v>55</v>
      </c>
      <c r="E49" s="138">
        <v>54</v>
      </c>
      <c r="F49" s="138">
        <v>54</v>
      </c>
      <c r="G49" s="138">
        <v>54</v>
      </c>
      <c r="H49" s="138">
        <v>54</v>
      </c>
      <c r="I49" s="138">
        <v>53</v>
      </c>
      <c r="J49" s="138">
        <v>51</v>
      </c>
      <c r="K49" s="136">
        <v>51</v>
      </c>
      <c r="L49" s="149">
        <v>46</v>
      </c>
      <c r="M49" s="136">
        <v>46</v>
      </c>
      <c r="N49" s="149">
        <v>46</v>
      </c>
      <c r="O49" s="149">
        <v>46</v>
      </c>
      <c r="P49" s="149">
        <v>46</v>
      </c>
      <c r="Q49" s="138">
        <v>12033</v>
      </c>
    </row>
    <row r="50" spans="1:24" s="2" customFormat="1" ht="15" customHeight="1" x14ac:dyDescent="0.15">
      <c r="A50" s="1"/>
      <c r="B50" s="17" t="s">
        <v>77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64">
        <v>0</v>
      </c>
      <c r="M50" s="138">
        <v>0</v>
      </c>
      <c r="N50" s="138">
        <v>0</v>
      </c>
      <c r="O50" s="138">
        <v>0</v>
      </c>
      <c r="P50" s="164">
        <v>0</v>
      </c>
      <c r="Q50" s="138">
        <v>0</v>
      </c>
    </row>
    <row r="51" spans="1:24" s="2" customFormat="1" ht="15" customHeight="1" x14ac:dyDescent="0.15">
      <c r="A51" s="1"/>
      <c r="B51" s="17" t="s">
        <v>79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64">
        <v>0</v>
      </c>
      <c r="M51" s="138">
        <v>0</v>
      </c>
      <c r="N51" s="138">
        <v>0</v>
      </c>
      <c r="O51" s="149">
        <v>168202</v>
      </c>
      <c r="P51" s="149">
        <v>353763</v>
      </c>
      <c r="Q51" s="138">
        <v>344389</v>
      </c>
    </row>
    <row r="52" spans="1:24" s="25" customFormat="1" ht="12" customHeight="1" x14ac:dyDescent="0.15">
      <c r="A52" s="30"/>
      <c r="B52" s="31"/>
      <c r="C52" s="2"/>
      <c r="D52" s="2"/>
      <c r="E52" s="2"/>
      <c r="F52" s="2"/>
      <c r="G52" s="2"/>
      <c r="H52" s="2"/>
      <c r="I52" s="2"/>
      <c r="J52" s="10"/>
      <c r="K52" s="136"/>
      <c r="L52" s="136"/>
      <c r="M52" s="136"/>
      <c r="N52" s="136"/>
      <c r="O52" s="136"/>
      <c r="P52" s="136"/>
      <c r="Q52" s="136"/>
    </row>
    <row r="53" spans="1:24" s="25" customFormat="1" ht="24.75" customHeight="1" x14ac:dyDescent="0.15">
      <c r="A53" s="30"/>
      <c r="B53" s="31"/>
      <c r="C53" s="2"/>
      <c r="D53" s="2"/>
      <c r="E53" s="2"/>
      <c r="F53" s="2"/>
      <c r="G53" s="2"/>
      <c r="H53" s="2"/>
      <c r="I53" s="2"/>
      <c r="J53" s="10"/>
      <c r="K53" s="136"/>
      <c r="L53" s="136"/>
      <c r="M53" s="136"/>
      <c r="N53" s="136"/>
      <c r="O53" s="136"/>
      <c r="P53" s="136"/>
      <c r="Q53" s="136"/>
    </row>
    <row r="54" spans="1:24" ht="12" customHeight="1" x14ac:dyDescent="0.2">
      <c r="B54" s="20"/>
      <c r="J54" s="10"/>
      <c r="K54" s="136"/>
      <c r="L54" s="136"/>
      <c r="M54" s="136"/>
      <c r="N54" s="136"/>
      <c r="O54" s="136"/>
      <c r="P54" s="136"/>
      <c r="Q54" s="136"/>
    </row>
    <row r="55" spans="1:24" s="10" customFormat="1" ht="15" customHeight="1" x14ac:dyDescent="0.15">
      <c r="A55" s="7">
        <v>4</v>
      </c>
      <c r="B55" s="12" t="s">
        <v>22</v>
      </c>
      <c r="C55" s="22">
        <v>7156408</v>
      </c>
      <c r="D55" s="22">
        <f t="shared" ref="D55:I55" si="13">D56+D80</f>
        <v>7205994</v>
      </c>
      <c r="E55" s="22">
        <f t="shared" si="13"/>
        <v>7163180</v>
      </c>
      <c r="F55" s="22">
        <f t="shared" si="13"/>
        <v>6883426</v>
      </c>
      <c r="G55" s="22">
        <f t="shared" si="13"/>
        <v>6927368</v>
      </c>
      <c r="H55" s="22">
        <f t="shared" si="13"/>
        <v>6546143</v>
      </c>
      <c r="I55" s="22">
        <f t="shared" si="13"/>
        <v>6472091</v>
      </c>
      <c r="J55" s="22">
        <f>J56+J80</f>
        <v>6245358</v>
      </c>
      <c r="K55" s="22">
        <f>K56+K80</f>
        <v>6278633</v>
      </c>
      <c r="L55" s="22">
        <f>L56+L80</f>
        <v>6329561</v>
      </c>
      <c r="M55" s="22">
        <v>6102539</v>
      </c>
      <c r="N55" s="22">
        <f>N56+N80</f>
        <v>5779308</v>
      </c>
      <c r="O55" s="22">
        <f>O56+O80</f>
        <v>5711864</v>
      </c>
      <c r="P55" s="22">
        <f>P56+P80</f>
        <v>5698591</v>
      </c>
      <c r="Q55" s="22">
        <f>Q56+Q80</f>
        <v>5697861</v>
      </c>
      <c r="X55" s="142"/>
    </row>
    <row r="56" spans="1:24" ht="15" customHeight="1" x14ac:dyDescent="0.2">
      <c r="B56" s="15" t="s">
        <v>5</v>
      </c>
      <c r="C56" s="16">
        <v>3545578</v>
      </c>
      <c r="D56" s="16">
        <f t="shared" ref="D56:I56" si="14">D57+D58+D59+D63+D74</f>
        <v>3602758</v>
      </c>
      <c r="E56" s="16">
        <f t="shared" si="14"/>
        <v>3679684</v>
      </c>
      <c r="F56" s="16">
        <f t="shared" si="14"/>
        <v>3700662</v>
      </c>
      <c r="G56" s="16">
        <f t="shared" si="14"/>
        <v>3548828</v>
      </c>
      <c r="H56" s="16">
        <f t="shared" si="14"/>
        <v>3541466</v>
      </c>
      <c r="I56" s="16">
        <f t="shared" si="14"/>
        <v>3598476</v>
      </c>
      <c r="J56" s="22">
        <f>J57+J58+J59+J63+J74</f>
        <v>3826252</v>
      </c>
      <c r="K56" s="22">
        <f>K57+K58+K59+K63+K74</f>
        <v>4047925</v>
      </c>
      <c r="L56" s="22">
        <f>L57+L58+L59+L63+L74</f>
        <v>4430275</v>
      </c>
      <c r="M56" s="22">
        <v>3897565</v>
      </c>
      <c r="N56" s="22">
        <f>N57+N58+N59+N63+N74</f>
        <v>3679590</v>
      </c>
      <c r="O56" s="22">
        <f>O57+O58+O59+O63+O74</f>
        <v>3751026</v>
      </c>
      <c r="P56" s="22">
        <f>P57+P58+P59+P63+P74</f>
        <v>3751128</v>
      </c>
      <c r="Q56" s="22">
        <f>Q57+Q58+Q59+Q63+Q74</f>
        <v>3762585</v>
      </c>
    </row>
    <row r="57" spans="1:24" s="2" customFormat="1" ht="12.75" customHeight="1" x14ac:dyDescent="0.15">
      <c r="A57" s="1"/>
      <c r="B57" s="32" t="s">
        <v>14</v>
      </c>
      <c r="C57" s="136">
        <v>269172</v>
      </c>
      <c r="D57" s="136">
        <v>266688</v>
      </c>
      <c r="E57" s="136">
        <v>253772</v>
      </c>
      <c r="F57" s="136">
        <v>253141</v>
      </c>
      <c r="G57" s="136">
        <v>248736</v>
      </c>
      <c r="H57" s="136">
        <v>237571</v>
      </c>
      <c r="I57" s="136">
        <v>222931</v>
      </c>
      <c r="J57" s="136">
        <v>219401</v>
      </c>
      <c r="K57" s="136">
        <v>207071</v>
      </c>
      <c r="L57" s="136">
        <v>203994</v>
      </c>
      <c r="M57" s="136">
        <v>191665</v>
      </c>
      <c r="N57" s="136">
        <v>188589</v>
      </c>
      <c r="O57" s="136">
        <v>176258</v>
      </c>
      <c r="P57" s="136">
        <v>173182</v>
      </c>
      <c r="Q57" s="136">
        <v>160858</v>
      </c>
    </row>
    <row r="58" spans="1:24" s="2" customFormat="1" ht="15" customHeight="1" x14ac:dyDescent="0.15">
      <c r="A58" s="1"/>
      <c r="B58" s="32" t="s">
        <v>23</v>
      </c>
      <c r="C58" s="136">
        <v>82786</v>
      </c>
      <c r="D58" s="136">
        <v>79688</v>
      </c>
      <c r="E58" s="136">
        <v>99735</v>
      </c>
      <c r="F58" s="136">
        <v>76755</v>
      </c>
      <c r="G58" s="136">
        <v>66638</v>
      </c>
      <c r="H58" s="136">
        <v>75950</v>
      </c>
      <c r="I58" s="136">
        <v>64035</v>
      </c>
      <c r="J58" s="136">
        <v>66638</v>
      </c>
      <c r="K58" s="136">
        <v>67040</v>
      </c>
      <c r="L58" s="136">
        <v>62452</v>
      </c>
      <c r="M58" s="136">
        <v>64002</v>
      </c>
      <c r="N58" s="136">
        <v>60080</v>
      </c>
      <c r="O58" s="136">
        <v>62425</v>
      </c>
      <c r="P58" s="136">
        <v>60630</v>
      </c>
      <c r="Q58" s="136">
        <v>62188</v>
      </c>
    </row>
    <row r="59" spans="1:24" s="2" customFormat="1" ht="15" customHeight="1" x14ac:dyDescent="0.15">
      <c r="A59" s="1"/>
      <c r="B59" s="32" t="s">
        <v>24</v>
      </c>
      <c r="C59" s="136">
        <f t="shared" ref="C59:G59" si="15">SUM(C60:C62)</f>
        <v>838040</v>
      </c>
      <c r="D59" s="136">
        <f t="shared" si="15"/>
        <v>884295</v>
      </c>
      <c r="E59" s="136">
        <f t="shared" si="15"/>
        <v>938394</v>
      </c>
      <c r="F59" s="136">
        <f t="shared" si="15"/>
        <v>923992</v>
      </c>
      <c r="G59" s="136">
        <f t="shared" si="15"/>
        <v>875965</v>
      </c>
      <c r="H59" s="136">
        <v>845091</v>
      </c>
      <c r="I59" s="136">
        <f>SUM(I60:I62)</f>
        <v>869105</v>
      </c>
      <c r="J59" s="136">
        <f>SUM(J60:J62)</f>
        <v>988077</v>
      </c>
      <c r="K59" s="136">
        <v>1241613</v>
      </c>
      <c r="L59" s="136">
        <v>1624219</v>
      </c>
      <c r="M59" s="136">
        <v>1098997</v>
      </c>
      <c r="N59" s="136">
        <v>808872</v>
      </c>
      <c r="O59" s="136">
        <v>1118034</v>
      </c>
      <c r="P59" s="136">
        <f>+P60+P61+P62</f>
        <v>1094819</v>
      </c>
      <c r="Q59" s="136">
        <f>+Q60+Q61+Q62</f>
        <v>1079738</v>
      </c>
    </row>
    <row r="60" spans="1:24" s="29" customFormat="1" ht="12.95" customHeight="1" x14ac:dyDescent="0.15">
      <c r="A60" s="28"/>
      <c r="B60" s="33" t="s">
        <v>25</v>
      </c>
      <c r="C60" s="140">
        <v>176184</v>
      </c>
      <c r="D60" s="140">
        <v>186323</v>
      </c>
      <c r="E60" s="140">
        <v>224949</v>
      </c>
      <c r="F60" s="140">
        <v>206589</v>
      </c>
      <c r="G60" s="140">
        <v>174628</v>
      </c>
      <c r="H60" s="140">
        <v>176962</v>
      </c>
      <c r="I60" s="140">
        <v>184289</v>
      </c>
      <c r="J60" s="140">
        <v>191351</v>
      </c>
      <c r="K60" s="141">
        <v>186194</v>
      </c>
      <c r="L60" s="141">
        <v>215799</v>
      </c>
      <c r="M60" s="141">
        <v>247782</v>
      </c>
      <c r="N60" s="141">
        <v>258683</v>
      </c>
      <c r="O60" s="141">
        <v>376956</v>
      </c>
      <c r="P60" s="141">
        <v>373630</v>
      </c>
      <c r="Q60" s="141">
        <v>266165</v>
      </c>
    </row>
    <row r="61" spans="1:24" s="29" customFormat="1" ht="12.95" customHeight="1" x14ac:dyDescent="0.15">
      <c r="A61" s="28"/>
      <c r="B61" s="33" t="s">
        <v>26</v>
      </c>
      <c r="C61" s="140">
        <v>89168</v>
      </c>
      <c r="D61" s="140">
        <v>81504</v>
      </c>
      <c r="E61" s="140">
        <v>83918</v>
      </c>
      <c r="F61" s="140">
        <v>86635</v>
      </c>
      <c r="G61" s="140">
        <v>88522</v>
      </c>
      <c r="H61" s="140">
        <v>95241</v>
      </c>
      <c r="I61" s="140">
        <v>105516</v>
      </c>
      <c r="J61" s="140">
        <v>102420</v>
      </c>
      <c r="K61" s="141">
        <v>138289</v>
      </c>
      <c r="L61" s="141">
        <v>126514</v>
      </c>
      <c r="M61" s="141">
        <v>118655</v>
      </c>
      <c r="N61" s="141">
        <v>114220</v>
      </c>
      <c r="O61" s="141">
        <v>144495</v>
      </c>
      <c r="P61" s="141">
        <v>136717</v>
      </c>
      <c r="Q61" s="141">
        <v>153120</v>
      </c>
    </row>
    <row r="62" spans="1:24" s="29" customFormat="1" ht="12.95" customHeight="1" x14ac:dyDescent="0.15">
      <c r="A62" s="28"/>
      <c r="B62" s="33" t="s">
        <v>27</v>
      </c>
      <c r="C62" s="140">
        <v>572688</v>
      </c>
      <c r="D62" s="140">
        <v>616468</v>
      </c>
      <c r="E62" s="140">
        <v>629527</v>
      </c>
      <c r="F62" s="140">
        <v>630768</v>
      </c>
      <c r="G62" s="140">
        <v>612815</v>
      </c>
      <c r="H62" s="140">
        <v>572888</v>
      </c>
      <c r="I62" s="140">
        <v>579300</v>
      </c>
      <c r="J62" s="140">
        <v>694306</v>
      </c>
      <c r="K62" s="141">
        <v>917130</v>
      </c>
      <c r="L62" s="141">
        <v>1281907</v>
      </c>
      <c r="M62" s="141">
        <v>732560</v>
      </c>
      <c r="N62" s="141">
        <v>435969</v>
      </c>
      <c r="O62" s="141">
        <v>596583</v>
      </c>
      <c r="P62" s="141">
        <v>584472</v>
      </c>
      <c r="Q62" s="141">
        <v>660453</v>
      </c>
    </row>
    <row r="63" spans="1:24" s="2" customFormat="1" ht="15" customHeight="1" x14ac:dyDescent="0.15">
      <c r="A63" s="1"/>
      <c r="B63" s="32" t="s">
        <v>28</v>
      </c>
      <c r="C63" s="142">
        <f t="shared" ref="C63:E63" si="16">+C64+C68</f>
        <v>132025</v>
      </c>
      <c r="D63" s="142">
        <f t="shared" si="16"/>
        <v>124626</v>
      </c>
      <c r="E63" s="142">
        <f t="shared" si="16"/>
        <v>120772</v>
      </c>
      <c r="F63" s="142">
        <f t="shared" ref="F63:N63" si="17">+F64+F68</f>
        <v>165119</v>
      </c>
      <c r="G63" s="142">
        <f t="shared" si="17"/>
        <v>80454</v>
      </c>
      <c r="H63" s="142">
        <f t="shared" si="17"/>
        <v>77498</v>
      </c>
      <c r="I63" s="142">
        <f t="shared" si="17"/>
        <v>93822</v>
      </c>
      <c r="J63" s="142">
        <f t="shared" si="17"/>
        <v>72801</v>
      </c>
      <c r="K63" s="142">
        <f t="shared" si="17"/>
        <v>75528</v>
      </c>
      <c r="L63" s="142">
        <f t="shared" si="17"/>
        <v>78591</v>
      </c>
      <c r="M63" s="142">
        <f t="shared" si="17"/>
        <v>96384</v>
      </c>
      <c r="N63" s="142">
        <f t="shared" si="17"/>
        <v>52036</v>
      </c>
      <c r="O63" s="142">
        <v>9503</v>
      </c>
      <c r="P63" s="142">
        <f>+P68</f>
        <v>10151</v>
      </c>
      <c r="Q63" s="142">
        <f>+Q68</f>
        <v>10859</v>
      </c>
    </row>
    <row r="64" spans="1:24" s="29" customFormat="1" ht="15" customHeight="1" x14ac:dyDescent="0.15">
      <c r="A64" s="28"/>
      <c r="B64" s="36" t="s">
        <v>74</v>
      </c>
      <c r="C64" s="143">
        <f t="shared" ref="C64:E64" si="18">+C65+C66+C67</f>
        <v>2</v>
      </c>
      <c r="D64" s="143">
        <f t="shared" si="18"/>
        <v>1</v>
      </c>
      <c r="E64" s="143">
        <f t="shared" si="18"/>
        <v>0</v>
      </c>
      <c r="F64" s="143">
        <f t="shared" ref="F64:K64" si="19">+F65+F66+F67</f>
        <v>0</v>
      </c>
      <c r="G64" s="143">
        <f t="shared" si="19"/>
        <v>0</v>
      </c>
      <c r="H64" s="143">
        <f t="shared" si="19"/>
        <v>0</v>
      </c>
      <c r="I64" s="143">
        <f t="shared" si="19"/>
        <v>0</v>
      </c>
      <c r="J64" s="143">
        <f t="shared" si="19"/>
        <v>0</v>
      </c>
      <c r="K64" s="143">
        <f t="shared" si="19"/>
        <v>0</v>
      </c>
      <c r="L64" s="143">
        <v>0</v>
      </c>
      <c r="M64" s="143">
        <v>0</v>
      </c>
      <c r="N64" s="143">
        <f>+N65+N66+N67</f>
        <v>0</v>
      </c>
      <c r="O64" s="143">
        <v>0</v>
      </c>
      <c r="P64" s="143">
        <v>0</v>
      </c>
      <c r="Q64" s="143">
        <v>0</v>
      </c>
    </row>
    <row r="65" spans="1:152" s="33" customFormat="1" ht="12.95" customHeight="1" x14ac:dyDescent="0.15">
      <c r="A65" s="28"/>
      <c r="B65" s="33" t="s">
        <v>29</v>
      </c>
      <c r="C65" s="140">
        <v>0</v>
      </c>
      <c r="D65" s="140">
        <v>0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</row>
    <row r="66" spans="1:152" s="33" customFormat="1" ht="12.75" customHeight="1" x14ac:dyDescent="0.15">
      <c r="A66" s="28"/>
      <c r="B66" s="33" t="s">
        <v>30</v>
      </c>
      <c r="C66" s="140">
        <v>2</v>
      </c>
      <c r="D66" s="140">
        <v>1</v>
      </c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40">
        <v>0</v>
      </c>
      <c r="P66" s="140">
        <v>0</v>
      </c>
      <c r="Q66" s="140">
        <v>0</v>
      </c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</row>
    <row r="67" spans="1:152" s="33" customFormat="1" ht="12.95" customHeight="1" x14ac:dyDescent="0.15">
      <c r="A67" s="28"/>
      <c r="B67" s="33" t="s">
        <v>31</v>
      </c>
      <c r="C67" s="140">
        <v>0</v>
      </c>
      <c r="D67" s="140">
        <v>0</v>
      </c>
      <c r="E67" s="140">
        <v>0</v>
      </c>
      <c r="F67" s="140"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0</v>
      </c>
      <c r="L67" s="140">
        <v>0</v>
      </c>
      <c r="M67" s="140">
        <v>0</v>
      </c>
      <c r="N67" s="140">
        <v>0</v>
      </c>
      <c r="O67" s="140">
        <v>0</v>
      </c>
      <c r="P67" s="140">
        <v>0</v>
      </c>
      <c r="Q67" s="140">
        <v>0</v>
      </c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</row>
    <row r="68" spans="1:152" s="29" customFormat="1" ht="15" customHeight="1" x14ac:dyDescent="0.15">
      <c r="A68" s="28"/>
      <c r="B68" s="36" t="s">
        <v>76</v>
      </c>
      <c r="C68" s="142">
        <f t="shared" ref="C68:E68" si="20">SUM(C69:C73)</f>
        <v>132023</v>
      </c>
      <c r="D68" s="142">
        <f t="shared" si="20"/>
        <v>124625</v>
      </c>
      <c r="E68" s="142">
        <f t="shared" si="20"/>
        <v>120772</v>
      </c>
      <c r="F68" s="142">
        <f t="shared" ref="F68:L68" si="21">SUM(F69:F73)</f>
        <v>165119</v>
      </c>
      <c r="G68" s="142">
        <f t="shared" si="21"/>
        <v>80454</v>
      </c>
      <c r="H68" s="142">
        <f t="shared" si="21"/>
        <v>77498</v>
      </c>
      <c r="I68" s="142">
        <f t="shared" si="21"/>
        <v>93822</v>
      </c>
      <c r="J68" s="142">
        <f t="shared" si="21"/>
        <v>72801</v>
      </c>
      <c r="K68" s="142">
        <f t="shared" si="21"/>
        <v>75528</v>
      </c>
      <c r="L68" s="142">
        <f t="shared" si="21"/>
        <v>78591</v>
      </c>
      <c r="M68" s="142">
        <v>96384</v>
      </c>
      <c r="N68" s="142">
        <f>SUM(N69:N73)</f>
        <v>52036</v>
      </c>
      <c r="O68" s="142">
        <v>9503</v>
      </c>
      <c r="P68" s="142">
        <f>+P69+P70+P71+P72+P73</f>
        <v>10151</v>
      </c>
      <c r="Q68" s="142">
        <f>+Q69+Q70+Q71+Q72+Q73</f>
        <v>10859</v>
      </c>
    </row>
    <row r="69" spans="1:152" s="40" customFormat="1" ht="12.95" customHeight="1" x14ac:dyDescent="0.15">
      <c r="A69" s="38"/>
      <c r="B69" s="33" t="s">
        <v>32</v>
      </c>
      <c r="C69" s="140">
        <v>2262</v>
      </c>
      <c r="D69" s="140">
        <v>2119</v>
      </c>
      <c r="E69" s="140">
        <v>2922</v>
      </c>
      <c r="F69" s="140">
        <v>2911</v>
      </c>
      <c r="G69" s="140">
        <v>2976</v>
      </c>
      <c r="H69" s="140">
        <v>980</v>
      </c>
      <c r="I69" s="140">
        <v>1766</v>
      </c>
      <c r="J69" s="140">
        <v>1768</v>
      </c>
      <c r="K69" s="140">
        <v>1291</v>
      </c>
      <c r="L69" s="140">
        <v>690</v>
      </c>
      <c r="M69" s="140">
        <v>688</v>
      </c>
      <c r="N69" s="140">
        <v>679</v>
      </c>
      <c r="O69" s="140">
        <v>666</v>
      </c>
      <c r="P69" s="140">
        <v>654</v>
      </c>
      <c r="Q69" s="140">
        <v>1641</v>
      </c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</row>
    <row r="70" spans="1:152" s="40" customFormat="1" ht="12.75" customHeight="1" x14ac:dyDescent="0.15">
      <c r="A70" s="38"/>
      <c r="B70" s="33" t="s">
        <v>33</v>
      </c>
      <c r="C70" s="140">
        <v>421</v>
      </c>
      <c r="D70" s="140">
        <v>417</v>
      </c>
      <c r="E70" s="140">
        <v>0</v>
      </c>
      <c r="F70" s="140">
        <v>0</v>
      </c>
      <c r="G70" s="140">
        <v>0</v>
      </c>
      <c r="H70" s="140"/>
      <c r="I70" s="140">
        <v>0</v>
      </c>
      <c r="J70" s="140">
        <v>0</v>
      </c>
      <c r="K70" s="140">
        <v>0</v>
      </c>
      <c r="L70" s="140">
        <v>8183</v>
      </c>
      <c r="M70" s="140">
        <v>6638</v>
      </c>
      <c r="N70" s="140">
        <v>4779</v>
      </c>
      <c r="O70" s="140">
        <v>4611</v>
      </c>
      <c r="P70" s="140">
        <v>4442</v>
      </c>
      <c r="Q70" s="140">
        <v>4333</v>
      </c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</row>
    <row r="71" spans="1:152" s="40" customFormat="1" ht="12.95" customHeight="1" x14ac:dyDescent="0.15">
      <c r="A71" s="38"/>
      <c r="B71" s="33" t="s">
        <v>34</v>
      </c>
      <c r="C71" s="140">
        <v>64468</v>
      </c>
      <c r="D71" s="140">
        <v>65527</v>
      </c>
      <c r="E71" s="140">
        <v>65150</v>
      </c>
      <c r="F71" s="140">
        <v>104079</v>
      </c>
      <c r="G71" s="141">
        <v>16151</v>
      </c>
      <c r="H71" s="141">
        <v>16994</v>
      </c>
      <c r="I71" s="141">
        <v>20287</v>
      </c>
      <c r="J71" s="141">
        <v>1323</v>
      </c>
      <c r="K71" s="141">
        <v>4368</v>
      </c>
      <c r="L71" s="140">
        <v>0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</row>
    <row r="72" spans="1:152" s="40" customFormat="1" ht="12.95" customHeight="1" x14ac:dyDescent="0.15">
      <c r="A72" s="38"/>
      <c r="B72" s="33" t="s">
        <v>35</v>
      </c>
      <c r="C72" s="140">
        <v>55748</v>
      </c>
      <c r="D72" s="140">
        <v>45281</v>
      </c>
      <c r="E72" s="140">
        <v>42419</v>
      </c>
      <c r="F72" s="140">
        <v>52301</v>
      </c>
      <c r="G72" s="140">
        <v>55501</v>
      </c>
      <c r="H72" s="140">
        <v>51243</v>
      </c>
      <c r="I72" s="140">
        <v>64108</v>
      </c>
      <c r="J72" s="140">
        <v>64019</v>
      </c>
      <c r="K72" s="140">
        <v>64080</v>
      </c>
      <c r="L72" s="140">
        <v>66751</v>
      </c>
      <c r="M72" s="140">
        <v>85325</v>
      </c>
      <c r="N72" s="140">
        <v>42204</v>
      </c>
      <c r="O72" s="140">
        <f>757+3469</f>
        <v>4226</v>
      </c>
      <c r="P72" s="140">
        <v>3803</v>
      </c>
      <c r="Q72" s="140">
        <v>3633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</row>
    <row r="73" spans="1:152" s="40" customFormat="1" ht="12.95" customHeight="1" x14ac:dyDescent="0.15">
      <c r="A73" s="38"/>
      <c r="B73" s="33" t="s">
        <v>36</v>
      </c>
      <c r="C73" s="140">
        <v>9124</v>
      </c>
      <c r="D73" s="140">
        <v>11281</v>
      </c>
      <c r="E73" s="140">
        <v>10281</v>
      </c>
      <c r="F73" s="140">
        <v>5828</v>
      </c>
      <c r="G73" s="140">
        <v>5826</v>
      </c>
      <c r="H73" s="140">
        <v>8281</v>
      </c>
      <c r="I73" s="140">
        <v>7661</v>
      </c>
      <c r="J73" s="140">
        <v>5691</v>
      </c>
      <c r="K73" s="140">
        <v>5789</v>
      </c>
      <c r="L73" s="140">
        <v>2967</v>
      </c>
      <c r="M73" s="140">
        <v>3733</v>
      </c>
      <c r="N73" s="140">
        <v>4374</v>
      </c>
      <c r="O73" s="140">
        <v>0</v>
      </c>
      <c r="P73" s="140">
        <v>1252</v>
      </c>
      <c r="Q73" s="140">
        <v>1252</v>
      </c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</row>
    <row r="74" spans="1:152" s="2" customFormat="1" ht="15" customHeight="1" x14ac:dyDescent="0.15">
      <c r="A74" s="1"/>
      <c r="B74" s="32" t="s">
        <v>37</v>
      </c>
      <c r="C74" s="136">
        <f t="shared" ref="C74:E74" si="22">SUM(C75:C78)</f>
        <v>2223555</v>
      </c>
      <c r="D74" s="136">
        <f t="shared" si="22"/>
        <v>2247461</v>
      </c>
      <c r="E74" s="136">
        <f t="shared" si="22"/>
        <v>2267011</v>
      </c>
      <c r="F74" s="136">
        <f t="shared" ref="F74:L74" si="23">SUM(F75:F78)</f>
        <v>2281655</v>
      </c>
      <c r="G74" s="136">
        <f t="shared" si="23"/>
        <v>2277035</v>
      </c>
      <c r="H74" s="136">
        <f t="shared" si="23"/>
        <v>2305356</v>
      </c>
      <c r="I74" s="136">
        <f t="shared" si="23"/>
        <v>2348583</v>
      </c>
      <c r="J74" s="136">
        <f t="shared" si="23"/>
        <v>2479335</v>
      </c>
      <c r="K74" s="136">
        <f t="shared" si="23"/>
        <v>2456673</v>
      </c>
      <c r="L74" s="136">
        <f t="shared" si="23"/>
        <v>2461019</v>
      </c>
      <c r="M74" s="136">
        <f>SUM(M75:M78)</f>
        <v>2355632</v>
      </c>
      <c r="N74" s="136">
        <f>SUM(N75:N78)</f>
        <v>2570013</v>
      </c>
      <c r="O74" s="136">
        <v>2384806</v>
      </c>
      <c r="P74" s="136">
        <f>+P75+P76+P77+P78</f>
        <v>2412346</v>
      </c>
      <c r="Q74" s="136">
        <f>+Q75+Q76+Q77+Q78</f>
        <v>2448942</v>
      </c>
    </row>
    <row r="75" spans="1:152" s="29" customFormat="1" ht="12.95" customHeight="1" x14ac:dyDescent="0.15">
      <c r="A75" s="28"/>
      <c r="B75" s="33" t="s">
        <v>38</v>
      </c>
      <c r="C75" s="140">
        <v>1867623</v>
      </c>
      <c r="D75" s="140">
        <v>1890904</v>
      </c>
      <c r="E75" s="140">
        <v>1898437</v>
      </c>
      <c r="F75" s="140">
        <v>1921087</v>
      </c>
      <c r="G75" s="140">
        <v>1927295</v>
      </c>
      <c r="H75" s="140">
        <v>1960916</v>
      </c>
      <c r="I75" s="140">
        <f>1998755+23580</f>
        <v>2022335</v>
      </c>
      <c r="J75" s="140">
        <v>2063763</v>
      </c>
      <c r="K75" s="140">
        <v>2019993</v>
      </c>
      <c r="L75" s="140">
        <v>2014683</v>
      </c>
      <c r="M75" s="140">
        <v>2014798</v>
      </c>
      <c r="N75" s="140">
        <v>2137044</v>
      </c>
      <c r="O75" s="140">
        <v>2034498</v>
      </c>
      <c r="P75" s="140">
        <v>2154238</v>
      </c>
      <c r="Q75" s="140">
        <v>2089767</v>
      </c>
    </row>
    <row r="76" spans="1:152" s="29" customFormat="1" ht="12.95" customHeight="1" x14ac:dyDescent="0.15">
      <c r="A76" s="28"/>
      <c r="B76" s="33" t="s">
        <v>39</v>
      </c>
      <c r="C76" s="140">
        <v>51798</v>
      </c>
      <c r="D76" s="140">
        <v>54567</v>
      </c>
      <c r="E76" s="140">
        <v>54636</v>
      </c>
      <c r="F76" s="140">
        <v>55015</v>
      </c>
      <c r="G76" s="140">
        <v>55820</v>
      </c>
      <c r="H76" s="140">
        <v>58092</v>
      </c>
      <c r="I76" s="140">
        <v>61941</v>
      </c>
      <c r="J76" s="140">
        <v>60546</v>
      </c>
      <c r="K76" s="140">
        <v>68224</v>
      </c>
      <c r="L76" s="140">
        <v>75411</v>
      </c>
      <c r="M76" s="140">
        <v>72653</v>
      </c>
      <c r="N76" s="140">
        <v>73304</v>
      </c>
      <c r="O76" s="140">
        <v>73229</v>
      </c>
      <c r="P76" s="140">
        <v>82844</v>
      </c>
      <c r="Q76" s="140">
        <v>64715</v>
      </c>
    </row>
    <row r="77" spans="1:152" s="29" customFormat="1" ht="12.95" customHeight="1" x14ac:dyDescent="0.15">
      <c r="A77" s="28"/>
      <c r="B77" s="33" t="s">
        <v>40</v>
      </c>
      <c r="C77" s="140">
        <v>6937</v>
      </c>
      <c r="D77" s="140">
        <v>6986</v>
      </c>
      <c r="E77" s="140">
        <v>7231</v>
      </c>
      <c r="F77" s="140">
        <v>7139</v>
      </c>
      <c r="G77" s="140">
        <v>7015</v>
      </c>
      <c r="H77" s="140">
        <v>7455</v>
      </c>
      <c r="I77" s="140">
        <v>7742</v>
      </c>
      <c r="J77" s="140">
        <v>7658</v>
      </c>
      <c r="K77" s="140">
        <v>7457</v>
      </c>
      <c r="L77" s="140">
        <v>8653</v>
      </c>
      <c r="M77" s="140">
        <v>7280</v>
      </c>
      <c r="N77" s="140">
        <v>7003</v>
      </c>
      <c r="O77" s="140">
        <v>6817</v>
      </c>
      <c r="P77" s="140">
        <v>8820</v>
      </c>
      <c r="Q77" s="140">
        <v>6005</v>
      </c>
    </row>
    <row r="78" spans="1:152" s="29" customFormat="1" ht="12.95" customHeight="1" x14ac:dyDescent="0.15">
      <c r="A78" s="28"/>
      <c r="B78" s="33" t="s">
        <v>41</v>
      </c>
      <c r="C78" s="140">
        <f>281134+16063</f>
        <v>297197</v>
      </c>
      <c r="D78" s="140">
        <f>281006+13998</f>
        <v>295004</v>
      </c>
      <c r="E78" s="140">
        <f>291328+15379</f>
        <v>306707</v>
      </c>
      <c r="F78" s="140">
        <f>276025+22389</f>
        <v>298414</v>
      </c>
      <c r="G78" s="140">
        <f>264482+22423</f>
        <v>286905</v>
      </c>
      <c r="H78" s="140">
        <f>254945+23948</f>
        <v>278893</v>
      </c>
      <c r="I78" s="140">
        <v>256565</v>
      </c>
      <c r="J78" s="140">
        <f>259043+88325</f>
        <v>347368</v>
      </c>
      <c r="K78" s="140">
        <f>264977+96022</f>
        <v>360999</v>
      </c>
      <c r="L78" s="140">
        <f>269213+93059</f>
        <v>362272</v>
      </c>
      <c r="M78" s="140">
        <v>260901</v>
      </c>
      <c r="N78" s="140">
        <f>258314+94348</f>
        <v>352662</v>
      </c>
      <c r="O78" s="140">
        <v>270262</v>
      </c>
      <c r="P78" s="140">
        <v>166444</v>
      </c>
      <c r="Q78" s="140">
        <f>267903+20552</f>
        <v>288455</v>
      </c>
    </row>
    <row r="79" spans="1:152" s="2" customFormat="1" ht="6" customHeight="1" x14ac:dyDescent="0.15">
      <c r="A79" s="1"/>
      <c r="B79" s="29"/>
      <c r="C79" s="35"/>
      <c r="D79" s="35"/>
      <c r="E79" s="35"/>
      <c r="F79" s="35"/>
      <c r="G79" s="35"/>
      <c r="H79" s="35"/>
      <c r="I79" s="35"/>
      <c r="J79" s="142"/>
      <c r="K79" s="136"/>
      <c r="L79" s="136"/>
      <c r="M79" s="136"/>
      <c r="N79" s="136"/>
      <c r="O79" s="136"/>
      <c r="P79" s="136"/>
      <c r="Q79" s="136"/>
    </row>
    <row r="80" spans="1:152" s="43" customFormat="1" ht="15.95" customHeight="1" x14ac:dyDescent="0.2">
      <c r="A80" s="42"/>
      <c r="B80" s="15" t="s">
        <v>9</v>
      </c>
      <c r="C80" s="16">
        <v>3610830</v>
      </c>
      <c r="D80" s="16">
        <f t="shared" ref="D80:I80" si="24">SUM(D81:D85)</f>
        <v>3603236</v>
      </c>
      <c r="E80" s="16">
        <f t="shared" si="24"/>
        <v>3483496</v>
      </c>
      <c r="F80" s="16">
        <f t="shared" si="24"/>
        <v>3182764</v>
      </c>
      <c r="G80" s="16">
        <f t="shared" si="24"/>
        <v>3378540</v>
      </c>
      <c r="H80" s="16">
        <f t="shared" si="24"/>
        <v>3004677</v>
      </c>
      <c r="I80" s="16">
        <f t="shared" si="24"/>
        <v>2873615</v>
      </c>
      <c r="J80" s="22">
        <f>SUM(J81:J85)</f>
        <v>2419106</v>
      </c>
      <c r="K80" s="22">
        <f>SUM(K81:K85)</f>
        <v>2230708</v>
      </c>
      <c r="L80" s="22">
        <f>SUM(L81:L85)</f>
        <v>1899286</v>
      </c>
      <c r="M80" s="22">
        <v>2204974</v>
      </c>
      <c r="N80" s="22">
        <f>SUM(N81:N85)</f>
        <v>2099718</v>
      </c>
      <c r="O80" s="22">
        <v>1960838</v>
      </c>
      <c r="P80" s="22">
        <f>+P81+P82+P83+P84+P85</f>
        <v>1947463</v>
      </c>
      <c r="Q80" s="22">
        <f>+Q81+Q82+Q83+Q84+Q85</f>
        <v>1935276</v>
      </c>
    </row>
    <row r="81" spans="1:18" s="2" customFormat="1" ht="15" customHeight="1" x14ac:dyDescent="0.15">
      <c r="A81" s="1"/>
      <c r="B81" s="21" t="s">
        <v>10</v>
      </c>
      <c r="C81" s="142">
        <v>40000</v>
      </c>
      <c r="D81" s="142">
        <v>40000</v>
      </c>
      <c r="E81" s="142">
        <v>40000</v>
      </c>
      <c r="F81" s="142">
        <v>40000</v>
      </c>
      <c r="G81" s="142">
        <v>35</v>
      </c>
      <c r="H81" s="142">
        <v>404</v>
      </c>
      <c r="I81" s="142">
        <v>15</v>
      </c>
      <c r="J81" s="142">
        <v>440</v>
      </c>
      <c r="K81" s="136">
        <v>670</v>
      </c>
      <c r="L81" s="136">
        <v>30</v>
      </c>
      <c r="M81" s="136">
        <v>437</v>
      </c>
      <c r="N81" s="136">
        <v>842</v>
      </c>
      <c r="O81" s="136">
        <v>1077</v>
      </c>
      <c r="P81" s="136">
        <v>1428</v>
      </c>
      <c r="Q81" s="136">
        <v>31219</v>
      </c>
    </row>
    <row r="82" spans="1:18" s="2" customFormat="1" ht="12" customHeight="1" x14ac:dyDescent="0.15">
      <c r="A82" s="1"/>
      <c r="B82" s="17" t="s">
        <v>11</v>
      </c>
      <c r="C82" s="142">
        <v>0</v>
      </c>
      <c r="D82" s="142">
        <v>0</v>
      </c>
      <c r="E82" s="142">
        <v>0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63">
        <v>0</v>
      </c>
      <c r="L82" s="142">
        <v>0</v>
      </c>
      <c r="M82" s="136">
        <v>137</v>
      </c>
      <c r="N82" s="142">
        <v>0</v>
      </c>
      <c r="O82" s="142">
        <v>0</v>
      </c>
      <c r="P82" s="136">
        <v>91</v>
      </c>
      <c r="Q82" s="136">
        <v>0</v>
      </c>
    </row>
    <row r="83" spans="1:18" s="2" customFormat="1" ht="12" customHeight="1" x14ac:dyDescent="0.15">
      <c r="A83" s="1"/>
      <c r="B83" s="17" t="s">
        <v>8</v>
      </c>
      <c r="C83" s="142">
        <v>76803</v>
      </c>
      <c r="D83" s="142">
        <v>76675</v>
      </c>
      <c r="E83" s="142">
        <v>76688</v>
      </c>
      <c r="F83" s="142">
        <v>124397</v>
      </c>
      <c r="G83" s="142">
        <v>125267</v>
      </c>
      <c r="H83" s="142">
        <v>86811</v>
      </c>
      <c r="I83" s="142">
        <v>113106</v>
      </c>
      <c r="J83" s="142">
        <v>119619</v>
      </c>
      <c r="K83" s="136">
        <v>121890</v>
      </c>
      <c r="L83" s="136">
        <v>125510</v>
      </c>
      <c r="M83" s="136">
        <v>126091</v>
      </c>
      <c r="N83" s="136">
        <v>125981</v>
      </c>
      <c r="O83" s="136">
        <v>65251</v>
      </c>
      <c r="P83" s="136">
        <v>70098</v>
      </c>
      <c r="Q83" s="136">
        <v>78229</v>
      </c>
    </row>
    <row r="84" spans="1:18" s="2" customFormat="1" ht="12" customHeight="1" x14ac:dyDescent="0.15">
      <c r="A84" s="1"/>
      <c r="B84" s="17" t="s">
        <v>77</v>
      </c>
      <c r="C84" s="142">
        <v>2973914</v>
      </c>
      <c r="D84" s="142">
        <v>2989074</v>
      </c>
      <c r="E84" s="142">
        <v>2838843</v>
      </c>
      <c r="F84" s="142">
        <v>2498627</v>
      </c>
      <c r="G84" s="142">
        <v>2916280</v>
      </c>
      <c r="H84" s="142">
        <v>2547667</v>
      </c>
      <c r="I84" s="142">
        <v>2408066</v>
      </c>
      <c r="J84" s="142">
        <v>1923819</v>
      </c>
      <c r="K84" s="136">
        <v>1728446</v>
      </c>
      <c r="L84" s="136">
        <v>1388420</v>
      </c>
      <c r="M84" s="136">
        <v>1698018</v>
      </c>
      <c r="N84" s="136">
        <v>1587940</v>
      </c>
      <c r="O84" s="136">
        <v>1570823</v>
      </c>
      <c r="P84" s="136">
        <v>1544665</v>
      </c>
      <c r="Q84" s="136">
        <v>1496991</v>
      </c>
    </row>
    <row r="85" spans="1:18" s="2" customFormat="1" ht="12" customHeight="1" x14ac:dyDescent="0.15">
      <c r="A85" s="1"/>
      <c r="B85" s="17" t="s">
        <v>80</v>
      </c>
      <c r="C85" s="142">
        <v>520113</v>
      </c>
      <c r="D85" s="142">
        <v>497487</v>
      </c>
      <c r="E85" s="142">
        <v>527965</v>
      </c>
      <c r="F85" s="142">
        <v>519740</v>
      </c>
      <c r="G85" s="142">
        <v>336958</v>
      </c>
      <c r="H85" s="142">
        <v>369795</v>
      </c>
      <c r="I85" s="142">
        <v>352428</v>
      </c>
      <c r="J85" s="142">
        <v>375228</v>
      </c>
      <c r="K85" s="136">
        <v>379702</v>
      </c>
      <c r="L85" s="136">
        <v>385326</v>
      </c>
      <c r="M85" s="136">
        <v>380301</v>
      </c>
      <c r="N85" s="136">
        <v>384955</v>
      </c>
      <c r="O85" s="136">
        <v>323687</v>
      </c>
      <c r="P85" s="136">
        <v>331181</v>
      </c>
      <c r="Q85" s="136">
        <v>328837</v>
      </c>
    </row>
    <row r="86" spans="1:18" ht="6" customHeight="1" x14ac:dyDescent="0.2">
      <c r="B86" s="27"/>
      <c r="J86" s="10"/>
      <c r="K86" s="136"/>
      <c r="L86" s="136"/>
      <c r="M86" s="136"/>
      <c r="N86" s="136"/>
      <c r="O86" s="136"/>
      <c r="P86" s="136"/>
      <c r="Q86" s="136"/>
    </row>
    <row r="87" spans="1:18" s="10" customFormat="1" ht="15.95" customHeight="1" x14ac:dyDescent="0.15">
      <c r="A87" s="7">
        <v>5</v>
      </c>
      <c r="B87" s="12" t="s">
        <v>42</v>
      </c>
      <c r="C87" s="22">
        <v>240846</v>
      </c>
      <c r="D87" s="22">
        <v>241227</v>
      </c>
      <c r="E87" s="22">
        <v>242365</v>
      </c>
      <c r="F87" s="22">
        <v>241867</v>
      </c>
      <c r="G87" s="22">
        <v>240751</v>
      </c>
      <c r="H87" s="22">
        <v>239866</v>
      </c>
      <c r="I87" s="22">
        <v>232975</v>
      </c>
      <c r="J87" s="22">
        <v>233073</v>
      </c>
      <c r="K87" s="13">
        <v>240874</v>
      </c>
      <c r="L87" s="13">
        <v>234376</v>
      </c>
      <c r="M87" s="13">
        <v>242258</v>
      </c>
      <c r="N87" s="13">
        <v>242314</v>
      </c>
      <c r="O87" s="13">
        <v>238912</v>
      </c>
      <c r="P87" s="13">
        <v>238843</v>
      </c>
      <c r="Q87" s="13">
        <v>239612</v>
      </c>
    </row>
    <row r="88" spans="1:18" s="10" customFormat="1" ht="15.95" customHeight="1" x14ac:dyDescent="0.15">
      <c r="A88" s="7">
        <v>6</v>
      </c>
      <c r="B88" s="12" t="s">
        <v>90</v>
      </c>
      <c r="C88" s="22">
        <v>148481</v>
      </c>
      <c r="D88" s="22">
        <v>146866</v>
      </c>
      <c r="E88" s="22">
        <v>130347</v>
      </c>
      <c r="F88" s="22">
        <v>154586</v>
      </c>
      <c r="G88" s="22">
        <v>127558</v>
      </c>
      <c r="H88" s="22">
        <v>147871</v>
      </c>
      <c r="I88" s="22">
        <v>141975</v>
      </c>
      <c r="J88" s="22">
        <v>146639</v>
      </c>
      <c r="K88" s="13">
        <v>150970</v>
      </c>
      <c r="L88" s="13">
        <v>154008</v>
      </c>
      <c r="M88" s="13">
        <v>133527</v>
      </c>
      <c r="N88" s="13">
        <v>158589</v>
      </c>
      <c r="O88" s="13">
        <v>156813</v>
      </c>
      <c r="P88" s="13">
        <v>152826</v>
      </c>
      <c r="Q88" s="13">
        <v>166303</v>
      </c>
    </row>
    <row r="89" spans="1:18" s="10" customFormat="1" ht="15.95" customHeight="1" x14ac:dyDescent="0.15">
      <c r="A89" s="7">
        <v>7</v>
      </c>
      <c r="B89" s="12" t="s">
        <v>43</v>
      </c>
      <c r="C89" s="22">
        <f t="shared" ref="C89:L89" si="25">C7+C8+C21+C38+C55+C87+C88</f>
        <v>14243801</v>
      </c>
      <c r="D89" s="22">
        <f t="shared" si="25"/>
        <v>14150500</v>
      </c>
      <c r="E89" s="22">
        <f t="shared" si="25"/>
        <v>14083662</v>
      </c>
      <c r="F89" s="22">
        <f t="shared" si="25"/>
        <v>14318019</v>
      </c>
      <c r="G89" s="22">
        <f t="shared" si="25"/>
        <v>14513092</v>
      </c>
      <c r="H89" s="22">
        <f t="shared" si="25"/>
        <v>14484663</v>
      </c>
      <c r="I89" s="22">
        <f t="shared" si="25"/>
        <v>14954039</v>
      </c>
      <c r="J89" s="22">
        <f t="shared" si="25"/>
        <v>15167494</v>
      </c>
      <c r="K89" s="22">
        <f t="shared" si="25"/>
        <v>15296412</v>
      </c>
      <c r="L89" s="22">
        <f t="shared" si="25"/>
        <v>14562638</v>
      </c>
      <c r="M89" s="22">
        <v>14200601</v>
      </c>
      <c r="N89" s="22">
        <f>N7+N8+N21+N38+N55+N87+N88</f>
        <v>14826663</v>
      </c>
      <c r="O89" s="22">
        <f>O7+O8+O21+O38+O55+O87+O88</f>
        <v>14903589</v>
      </c>
      <c r="P89" s="22">
        <f>P7+P8+P21+P38+P55+P87+P88</f>
        <v>15088017</v>
      </c>
      <c r="Q89" s="22">
        <f>Q7+Q8+Q21+Q38+Q55+Q87+Q88</f>
        <v>14910462</v>
      </c>
    </row>
    <row r="90" spans="1:18" s="46" customFormat="1" ht="15" customHeight="1" thickBot="1" x14ac:dyDescent="0.25">
      <c r="A90" s="45"/>
      <c r="J90" s="136"/>
      <c r="K90" s="136"/>
      <c r="L90" s="136"/>
      <c r="M90" s="136"/>
      <c r="N90" s="136"/>
      <c r="O90" s="136"/>
      <c r="P90" s="136"/>
      <c r="Q90" s="136"/>
    </row>
    <row r="91" spans="1:18" ht="15.95" customHeight="1" thickBot="1" x14ac:dyDescent="0.25">
      <c r="B91" s="162" t="s">
        <v>97</v>
      </c>
      <c r="C91" s="128"/>
      <c r="D91" s="128"/>
      <c r="E91" s="128"/>
      <c r="F91" s="128"/>
      <c r="G91" s="128"/>
      <c r="H91" s="128"/>
      <c r="I91" s="128"/>
      <c r="J91" s="151"/>
      <c r="K91" s="152"/>
      <c r="L91" s="152"/>
      <c r="M91" s="152"/>
      <c r="N91" s="152"/>
      <c r="O91" s="152"/>
      <c r="P91" s="152"/>
      <c r="Q91" s="153"/>
    </row>
    <row r="92" spans="1:18" ht="13.5" thickBot="1" x14ac:dyDescent="0.25">
      <c r="J92" s="10"/>
      <c r="K92" s="136"/>
      <c r="L92" s="136"/>
      <c r="M92" s="136"/>
      <c r="N92" s="136"/>
      <c r="O92" s="136"/>
      <c r="P92" s="136"/>
      <c r="Q92" s="136"/>
    </row>
    <row r="93" spans="1:18" ht="15.75" thickBot="1" x14ac:dyDescent="0.25">
      <c r="B93" s="8" t="s">
        <v>45</v>
      </c>
      <c r="C93" s="132" t="s">
        <v>2</v>
      </c>
      <c r="D93" s="133" t="s">
        <v>73</v>
      </c>
      <c r="E93" s="133" t="s">
        <v>84</v>
      </c>
      <c r="F93" s="133" t="s">
        <v>85</v>
      </c>
      <c r="G93" s="133" t="s">
        <v>86</v>
      </c>
      <c r="H93" s="133" t="s">
        <v>87</v>
      </c>
      <c r="I93" s="133" t="s">
        <v>88</v>
      </c>
      <c r="J93" s="133" t="s">
        <v>89</v>
      </c>
      <c r="K93" s="134" t="s">
        <v>91</v>
      </c>
      <c r="L93" s="134" t="s">
        <v>92</v>
      </c>
      <c r="M93" s="134" t="s">
        <v>93</v>
      </c>
      <c r="N93" s="134" t="s">
        <v>94</v>
      </c>
      <c r="O93" s="134" t="s">
        <v>95</v>
      </c>
      <c r="P93" s="134" t="s">
        <v>98</v>
      </c>
      <c r="Q93" s="135" t="s">
        <v>99</v>
      </c>
    </row>
    <row r="94" spans="1:18" s="10" customFormat="1" ht="15.95" customHeight="1" x14ac:dyDescent="0.15">
      <c r="A94" s="7"/>
      <c r="B94" s="12" t="s">
        <v>46</v>
      </c>
      <c r="C94" s="22">
        <f t="shared" ref="C94:H94" si="26">+C98+C108+C118</f>
        <v>7216345</v>
      </c>
      <c r="D94" s="22">
        <f t="shared" si="26"/>
        <v>6953541</v>
      </c>
      <c r="E94" s="22">
        <f t="shared" si="26"/>
        <v>6853521</v>
      </c>
      <c r="F94" s="22">
        <f t="shared" si="26"/>
        <v>7247580</v>
      </c>
      <c r="G94" s="22">
        <f t="shared" si="26"/>
        <v>7377723</v>
      </c>
      <c r="H94" s="22">
        <f t="shared" si="26"/>
        <v>7621228</v>
      </c>
      <c r="I94" s="22">
        <f>+I98+I108+I118</f>
        <v>7666462</v>
      </c>
      <c r="J94" s="22">
        <f>+J98+J108+J118</f>
        <v>8599574</v>
      </c>
      <c r="K94" s="22">
        <f>+K98+K108+K118</f>
        <v>8514721</v>
      </c>
      <c r="L94" s="22">
        <f>+L98+L108+L118</f>
        <v>7884430</v>
      </c>
      <c r="M94" s="22">
        <v>7831139</v>
      </c>
      <c r="N94" s="22">
        <f>+N98+N108+N118</f>
        <v>8697456</v>
      </c>
      <c r="O94" s="22">
        <f>+O98+O108+O118</f>
        <v>8674120</v>
      </c>
      <c r="P94" s="22">
        <f>+P98+P108+P118</f>
        <v>8733175</v>
      </c>
      <c r="Q94" s="22">
        <f>+Q98+Q108+Q118</f>
        <v>8470164</v>
      </c>
      <c r="R94" s="142"/>
    </row>
    <row r="95" spans="1:18" s="10" customFormat="1" ht="15.95" customHeight="1" x14ac:dyDescent="0.15">
      <c r="A95" s="7"/>
      <c r="B95" s="22" t="s">
        <v>47</v>
      </c>
      <c r="C95" s="22">
        <f t="shared" ref="C95:H95" si="27">+C128</f>
        <v>5155596</v>
      </c>
      <c r="D95" s="22">
        <f t="shared" si="27"/>
        <v>5398167</v>
      </c>
      <c r="E95" s="22">
        <f t="shared" si="27"/>
        <v>5309921</v>
      </c>
      <c r="F95" s="22">
        <f t="shared" si="27"/>
        <v>5187266</v>
      </c>
      <c r="G95" s="22">
        <f t="shared" si="27"/>
        <v>5221284</v>
      </c>
      <c r="H95" s="22">
        <f t="shared" si="27"/>
        <v>4893787</v>
      </c>
      <c r="I95" s="22">
        <f>+I128</f>
        <v>5216695</v>
      </c>
      <c r="J95" s="22">
        <f>+J128</f>
        <v>4503283</v>
      </c>
      <c r="K95" s="22">
        <f>+K128</f>
        <v>4711947</v>
      </c>
      <c r="L95" s="22">
        <f>+L128</f>
        <v>4531789</v>
      </c>
      <c r="M95" s="22">
        <v>4119952</v>
      </c>
      <c r="N95" s="22">
        <f>+N128</f>
        <v>3876324</v>
      </c>
      <c r="O95" s="22">
        <f>+O128</f>
        <v>3901985</v>
      </c>
      <c r="P95" s="22">
        <f>+P128</f>
        <v>3996901</v>
      </c>
      <c r="Q95" s="22">
        <f>+Q128</f>
        <v>4033560</v>
      </c>
    </row>
    <row r="96" spans="1:18" s="10" customFormat="1" ht="15.95" customHeight="1" x14ac:dyDescent="0.15">
      <c r="A96" s="7"/>
      <c r="B96" s="12" t="s">
        <v>48</v>
      </c>
      <c r="C96" s="22">
        <f t="shared" ref="C96:H96" si="28">SUM(C94:C95)</f>
        <v>12371941</v>
      </c>
      <c r="D96" s="22">
        <f t="shared" si="28"/>
        <v>12351708</v>
      </c>
      <c r="E96" s="22">
        <f t="shared" si="28"/>
        <v>12163442</v>
      </c>
      <c r="F96" s="22">
        <f t="shared" si="28"/>
        <v>12434846</v>
      </c>
      <c r="G96" s="22">
        <f t="shared" si="28"/>
        <v>12599007</v>
      </c>
      <c r="H96" s="22">
        <f t="shared" si="28"/>
        <v>12515015</v>
      </c>
      <c r="I96" s="22">
        <f>SUM(I94:I95)</f>
        <v>12883157</v>
      </c>
      <c r="J96" s="22">
        <f>SUM(J94:J95)</f>
        <v>13102857</v>
      </c>
      <c r="K96" s="22">
        <f>SUM(K94:K95)</f>
        <v>13226668</v>
      </c>
      <c r="L96" s="22">
        <f>SUM(L94:L95)</f>
        <v>12416219</v>
      </c>
      <c r="M96" s="22">
        <v>11951091</v>
      </c>
      <c r="N96" s="22">
        <f>SUM(N94:N95)</f>
        <v>12573780</v>
      </c>
      <c r="O96" s="22">
        <f>SUM(O94:O95)</f>
        <v>12576105</v>
      </c>
      <c r="P96" s="22">
        <f>+P95+P94</f>
        <v>12730076</v>
      </c>
      <c r="Q96" s="22">
        <f>+Q95+Q94</f>
        <v>12503724</v>
      </c>
      <c r="R96" s="142"/>
    </row>
    <row r="97" spans="1:18" ht="15" customHeight="1" x14ac:dyDescent="0.2">
      <c r="B97" s="48"/>
      <c r="J97" s="10"/>
      <c r="K97" s="136"/>
      <c r="L97" s="136"/>
      <c r="M97" s="136"/>
      <c r="N97" s="136"/>
      <c r="O97" s="136"/>
      <c r="P97" s="136"/>
      <c r="Q97" s="136"/>
      <c r="R97" s="145"/>
    </row>
    <row r="98" spans="1:18" s="10" customFormat="1" ht="15.95" customHeight="1" x14ac:dyDescent="0.15">
      <c r="A98" s="7">
        <v>8</v>
      </c>
      <c r="B98" s="49" t="s">
        <v>49</v>
      </c>
      <c r="C98" s="22">
        <v>2539148</v>
      </c>
      <c r="D98" s="22">
        <f t="shared" ref="D98:I98" si="29">SUM(D99:D106)</f>
        <v>2522219</v>
      </c>
      <c r="E98" s="22">
        <f t="shared" si="29"/>
        <v>2297534</v>
      </c>
      <c r="F98" s="22">
        <f t="shared" si="29"/>
        <v>2579370</v>
      </c>
      <c r="G98" s="22">
        <f t="shared" si="29"/>
        <v>2450328</v>
      </c>
      <c r="H98" s="22">
        <f t="shared" si="29"/>
        <v>2534754</v>
      </c>
      <c r="I98" s="22">
        <f t="shared" si="29"/>
        <v>2460511</v>
      </c>
      <c r="J98" s="22">
        <f>SUM(J99:J106)</f>
        <v>2580299</v>
      </c>
      <c r="K98" s="22">
        <f>SUM(K99:K106)</f>
        <v>2788871</v>
      </c>
      <c r="L98" s="22">
        <f>SUM(L99:L106)</f>
        <v>2540733</v>
      </c>
      <c r="M98" s="22">
        <v>2447911</v>
      </c>
      <c r="N98" s="22">
        <f>SUM(N99:N106)</f>
        <v>2924290</v>
      </c>
      <c r="O98" s="22">
        <f>SUM(O99:O106)</f>
        <v>2674269</v>
      </c>
      <c r="P98" s="22">
        <f>SUM(P99:P106)</f>
        <v>2877634</v>
      </c>
      <c r="Q98" s="22">
        <f>SUM(Q99:Q106)</f>
        <v>2863715</v>
      </c>
    </row>
    <row r="99" spans="1:18" s="2" customFormat="1" ht="15" customHeight="1" x14ac:dyDescent="0.15">
      <c r="A99" s="1"/>
      <c r="B99" s="2" t="s">
        <v>14</v>
      </c>
      <c r="C99" s="136">
        <v>52815</v>
      </c>
      <c r="D99" s="136">
        <v>53631</v>
      </c>
      <c r="E99" s="136">
        <v>45979</v>
      </c>
      <c r="F99" s="136">
        <v>51662</v>
      </c>
      <c r="G99" s="136">
        <v>15270</v>
      </c>
      <c r="H99" s="136">
        <v>45473</v>
      </c>
      <c r="I99" s="136">
        <v>36345</v>
      </c>
      <c r="J99" s="136">
        <v>93191</v>
      </c>
      <c r="K99" s="136">
        <v>50166</v>
      </c>
      <c r="L99" s="136">
        <v>50556</v>
      </c>
      <c r="M99" s="136">
        <v>44405</v>
      </c>
      <c r="N99" s="136">
        <v>101811</v>
      </c>
      <c r="O99" s="136">
        <v>47993</v>
      </c>
      <c r="P99" s="136">
        <v>55106</v>
      </c>
      <c r="Q99" s="136">
        <v>49894</v>
      </c>
    </row>
    <row r="100" spans="1:18" s="2" customFormat="1" ht="15" customHeight="1" x14ac:dyDescent="0.15">
      <c r="A100" s="1"/>
      <c r="B100" s="2" t="s">
        <v>50</v>
      </c>
      <c r="C100" s="136">
        <v>76448</v>
      </c>
      <c r="D100" s="136">
        <v>79540</v>
      </c>
      <c r="E100" s="136">
        <v>79501</v>
      </c>
      <c r="F100" s="136">
        <v>95229</v>
      </c>
      <c r="G100" s="136">
        <v>114119</v>
      </c>
      <c r="H100" s="136">
        <v>116738</v>
      </c>
      <c r="I100" s="136">
        <v>105268</v>
      </c>
      <c r="J100" s="136">
        <v>98280</v>
      </c>
      <c r="K100" s="136">
        <v>112260</v>
      </c>
      <c r="L100" s="136">
        <v>134530</v>
      </c>
      <c r="M100" s="136">
        <v>115888</v>
      </c>
      <c r="N100" s="136">
        <v>94724</v>
      </c>
      <c r="O100" s="136">
        <v>104147</v>
      </c>
      <c r="P100" s="136">
        <v>116405</v>
      </c>
      <c r="Q100" s="136">
        <v>115191</v>
      </c>
    </row>
    <row r="101" spans="1:18" s="2" customFormat="1" ht="15" customHeight="1" x14ac:dyDescent="0.15">
      <c r="A101" s="1"/>
      <c r="B101" s="2" t="s">
        <v>51</v>
      </c>
      <c r="C101" s="136">
        <v>931659</v>
      </c>
      <c r="D101" s="136">
        <v>982381</v>
      </c>
      <c r="E101" s="136">
        <v>800687</v>
      </c>
      <c r="F101" s="136">
        <v>1011618</v>
      </c>
      <c r="G101" s="136">
        <v>1023613</v>
      </c>
      <c r="H101" s="136">
        <v>902246</v>
      </c>
      <c r="I101" s="136">
        <v>893998</v>
      </c>
      <c r="J101" s="136">
        <v>1013911</v>
      </c>
      <c r="K101" s="136">
        <v>1217413</v>
      </c>
      <c r="L101" s="136">
        <v>864772</v>
      </c>
      <c r="M101" s="136">
        <v>875899</v>
      </c>
      <c r="N101" s="136">
        <v>1114564</v>
      </c>
      <c r="O101" s="136">
        <v>1064795</v>
      </c>
      <c r="P101" s="136">
        <v>1123951</v>
      </c>
      <c r="Q101" s="136">
        <v>931188</v>
      </c>
    </row>
    <row r="102" spans="1:18" s="2" customFormat="1" ht="15" customHeight="1" x14ac:dyDescent="0.15">
      <c r="A102" s="1"/>
      <c r="B102" s="2" t="s">
        <v>52</v>
      </c>
      <c r="C102" s="136">
        <v>6</v>
      </c>
      <c r="D102" s="136">
        <v>-293</v>
      </c>
      <c r="E102" s="136">
        <v>6</v>
      </c>
      <c r="F102" s="136">
        <v>6</v>
      </c>
      <c r="G102" s="136">
        <v>6</v>
      </c>
      <c r="H102" s="136">
        <v>6</v>
      </c>
      <c r="I102" s="136">
        <v>6</v>
      </c>
      <c r="J102" s="136">
        <v>6</v>
      </c>
      <c r="K102" s="136">
        <v>6</v>
      </c>
      <c r="L102" s="136">
        <v>6</v>
      </c>
      <c r="M102" s="136">
        <v>6</v>
      </c>
      <c r="N102" s="136">
        <v>6</v>
      </c>
      <c r="O102" s="136">
        <v>6</v>
      </c>
      <c r="P102" s="136">
        <v>6</v>
      </c>
      <c r="Q102" s="136">
        <v>6</v>
      </c>
    </row>
    <row r="103" spans="1:18" s="2" customFormat="1" ht="15" customHeight="1" x14ac:dyDescent="0.15">
      <c r="A103" s="1"/>
      <c r="B103" s="2" t="s">
        <v>53</v>
      </c>
      <c r="C103" s="136">
        <f>11950+81</f>
        <v>12031</v>
      </c>
      <c r="D103" s="136">
        <f>77+11526</f>
        <v>11603</v>
      </c>
      <c r="E103" s="136">
        <f>14192+9857</f>
        <v>24049</v>
      </c>
      <c r="F103" s="136">
        <f>15470+7675</f>
        <v>23145</v>
      </c>
      <c r="G103" s="136">
        <f>13439+9291</f>
        <v>22730</v>
      </c>
      <c r="H103" s="136">
        <f>14536+18161</f>
        <v>32697</v>
      </c>
      <c r="I103" s="136">
        <f>24603+8159</f>
        <v>32762</v>
      </c>
      <c r="J103" s="136">
        <f>19461+1531</f>
        <v>20992</v>
      </c>
      <c r="K103" s="136">
        <f>68012+1622</f>
        <v>69634</v>
      </c>
      <c r="L103" s="136">
        <f>25413+1619</f>
        <v>27032</v>
      </c>
      <c r="M103" s="136">
        <f>26435+900</f>
        <v>27335</v>
      </c>
      <c r="N103" s="136">
        <f>5874+1063</f>
        <v>6937</v>
      </c>
      <c r="O103" s="136">
        <f>5349+997</f>
        <v>6346</v>
      </c>
      <c r="P103" s="136">
        <v>7856</v>
      </c>
      <c r="Q103" s="136">
        <v>9679</v>
      </c>
    </row>
    <row r="104" spans="1:18" s="2" customFormat="1" ht="15" customHeight="1" x14ac:dyDescent="0.15">
      <c r="A104" s="1"/>
      <c r="B104" s="2" t="s">
        <v>54</v>
      </c>
      <c r="C104" s="136">
        <v>6839</v>
      </c>
      <c r="D104" s="136">
        <v>2338</v>
      </c>
      <c r="E104" s="136">
        <v>6945</v>
      </c>
      <c r="F104" s="136">
        <v>7049</v>
      </c>
      <c r="G104" s="136">
        <v>7957</v>
      </c>
      <c r="H104" s="136">
        <v>12413</v>
      </c>
      <c r="I104" s="136">
        <v>17829</v>
      </c>
      <c r="J104" s="136">
        <v>16099</v>
      </c>
      <c r="K104" s="136">
        <v>7096</v>
      </c>
      <c r="L104" s="136">
        <v>6757</v>
      </c>
      <c r="M104" s="136">
        <v>7740</v>
      </c>
      <c r="N104" s="136">
        <v>9343</v>
      </c>
      <c r="O104" s="136">
        <v>80503</v>
      </c>
      <c r="P104" s="136">
        <v>77994</v>
      </c>
      <c r="Q104" s="136">
        <v>74670</v>
      </c>
    </row>
    <row r="105" spans="1:18" s="2" customFormat="1" ht="15" customHeight="1" x14ac:dyDescent="0.15">
      <c r="A105" s="1"/>
      <c r="B105" s="17" t="s">
        <v>8</v>
      </c>
      <c r="C105" s="136">
        <v>928913</v>
      </c>
      <c r="D105" s="136">
        <v>872577</v>
      </c>
      <c r="E105" s="136">
        <v>799839</v>
      </c>
      <c r="F105" s="136">
        <v>890004</v>
      </c>
      <c r="G105" s="136">
        <v>800889</v>
      </c>
      <c r="H105" s="136">
        <v>900186</v>
      </c>
      <c r="I105" s="136">
        <v>831750</v>
      </c>
      <c r="J105" s="136">
        <v>762204</v>
      </c>
      <c r="K105" s="136">
        <v>750165</v>
      </c>
      <c r="L105" s="136">
        <v>922848</v>
      </c>
      <c r="M105" s="136">
        <v>912142</v>
      </c>
      <c r="N105" s="136">
        <v>1129938</v>
      </c>
      <c r="O105" s="136">
        <v>870885</v>
      </c>
      <c r="P105" s="136">
        <v>1051369</v>
      </c>
      <c r="Q105" s="136">
        <v>1147410</v>
      </c>
    </row>
    <row r="106" spans="1:18" s="2" customFormat="1" ht="15" customHeight="1" x14ac:dyDescent="0.15">
      <c r="A106" s="1"/>
      <c r="B106" s="2" t="s">
        <v>55</v>
      </c>
      <c r="C106" s="136">
        <v>530437</v>
      </c>
      <c r="D106" s="136">
        <v>520442</v>
      </c>
      <c r="E106" s="136">
        <v>540528</v>
      </c>
      <c r="F106" s="136">
        <v>500657</v>
      </c>
      <c r="G106" s="136">
        <v>465744</v>
      </c>
      <c r="H106" s="136">
        <v>524995</v>
      </c>
      <c r="I106" s="136">
        <v>542553</v>
      </c>
      <c r="J106" s="136">
        <v>575616</v>
      </c>
      <c r="K106" s="136">
        <v>582131</v>
      </c>
      <c r="L106" s="136">
        <v>534232</v>
      </c>
      <c r="M106" s="136">
        <v>464496</v>
      </c>
      <c r="N106" s="136">
        <v>466967</v>
      </c>
      <c r="O106" s="136">
        <v>499594</v>
      </c>
      <c r="P106" s="136">
        <v>444947</v>
      </c>
      <c r="Q106" s="136">
        <v>535677</v>
      </c>
    </row>
    <row r="107" spans="1:18" ht="15" customHeight="1" x14ac:dyDescent="0.2">
      <c r="J107" s="10"/>
      <c r="K107" s="136"/>
      <c r="L107" s="136"/>
      <c r="M107" s="136"/>
      <c r="N107" s="136"/>
      <c r="O107" s="136"/>
      <c r="P107" s="136"/>
      <c r="Q107" s="136"/>
    </row>
    <row r="108" spans="1:18" s="10" customFormat="1" ht="15.95" customHeight="1" x14ac:dyDescent="0.15">
      <c r="A108" s="7">
        <v>9</v>
      </c>
      <c r="B108" s="49" t="s">
        <v>56</v>
      </c>
      <c r="C108" s="22">
        <v>2639986</v>
      </c>
      <c r="D108" s="22">
        <f t="shared" ref="D108:I108" si="30">SUM(D109:D116)</f>
        <v>2464406</v>
      </c>
      <c r="E108" s="22">
        <f t="shared" si="30"/>
        <v>2506877</v>
      </c>
      <c r="F108" s="22">
        <f t="shared" si="30"/>
        <v>2562631</v>
      </c>
      <c r="G108" s="22">
        <f t="shared" si="30"/>
        <v>2630682</v>
      </c>
      <c r="H108" s="22">
        <f t="shared" si="30"/>
        <v>2689385</v>
      </c>
      <c r="I108" s="22">
        <f t="shared" si="30"/>
        <v>2705139</v>
      </c>
      <c r="J108" s="22">
        <f>SUM(J109:J116)</f>
        <v>3252819</v>
      </c>
      <c r="K108" s="22">
        <f>SUM(K109:K116)</f>
        <v>2911228</v>
      </c>
      <c r="L108" s="22">
        <f>SUM(L109:L116)</f>
        <v>2658382</v>
      </c>
      <c r="M108" s="22">
        <v>2712066</v>
      </c>
      <c r="N108" s="22">
        <f>SUM(N109:N116)</f>
        <v>3005665</v>
      </c>
      <c r="O108" s="22">
        <f>SUM(O109:O116)</f>
        <v>3064335</v>
      </c>
      <c r="P108" s="22">
        <f>SUM(P109:P116)</f>
        <v>3074043</v>
      </c>
      <c r="Q108" s="22">
        <f>SUM(Q109:Q116)</f>
        <v>2956854</v>
      </c>
    </row>
    <row r="109" spans="1:18" s="2" customFormat="1" ht="15" customHeight="1" x14ac:dyDescent="0.15">
      <c r="A109" s="1"/>
      <c r="B109" s="2" t="s">
        <v>14</v>
      </c>
      <c r="C109" s="136">
        <v>42840</v>
      </c>
      <c r="D109" s="136">
        <v>851</v>
      </c>
      <c r="E109" s="136">
        <v>911</v>
      </c>
      <c r="F109" s="136">
        <v>909</v>
      </c>
      <c r="G109" s="136">
        <v>910</v>
      </c>
      <c r="H109" s="136">
        <v>22697</v>
      </c>
      <c r="I109" s="136">
        <v>6832</v>
      </c>
      <c r="J109" s="136">
        <v>15832</v>
      </c>
      <c r="K109" s="136">
        <v>1557</v>
      </c>
      <c r="L109" s="136">
        <v>1590</v>
      </c>
      <c r="M109" s="136">
        <v>14042</v>
      </c>
      <c r="N109" s="136">
        <v>2355</v>
      </c>
      <c r="O109" s="136">
        <v>3302</v>
      </c>
      <c r="P109" s="136">
        <v>3029</v>
      </c>
      <c r="Q109" s="136">
        <v>19377</v>
      </c>
    </row>
    <row r="110" spans="1:18" s="2" customFormat="1" ht="15" customHeight="1" x14ac:dyDescent="0.15">
      <c r="A110" s="1"/>
      <c r="B110" s="2" t="s">
        <v>50</v>
      </c>
      <c r="C110" s="136">
        <v>9898</v>
      </c>
      <c r="D110" s="136">
        <v>3449</v>
      </c>
      <c r="E110" s="136">
        <v>2097</v>
      </c>
      <c r="F110" s="136">
        <v>2001</v>
      </c>
      <c r="G110" s="136">
        <v>1552</v>
      </c>
      <c r="H110" s="136">
        <v>2063</v>
      </c>
      <c r="I110" s="136">
        <v>3564</v>
      </c>
      <c r="J110" s="136">
        <v>2681</v>
      </c>
      <c r="K110" s="136">
        <v>2977</v>
      </c>
      <c r="L110" s="136">
        <v>2978</v>
      </c>
      <c r="M110" s="136">
        <v>3091</v>
      </c>
      <c r="N110" s="136">
        <v>3283</v>
      </c>
      <c r="O110" s="136">
        <v>3433</v>
      </c>
      <c r="P110" s="136">
        <v>3058</v>
      </c>
      <c r="Q110" s="136">
        <v>3032</v>
      </c>
    </row>
    <row r="111" spans="1:18" s="2" customFormat="1" ht="15" customHeight="1" x14ac:dyDescent="0.15">
      <c r="A111" s="1"/>
      <c r="B111" s="2" t="s">
        <v>16</v>
      </c>
      <c r="C111" s="136">
        <v>710811</v>
      </c>
      <c r="D111" s="136">
        <v>680894</v>
      </c>
      <c r="E111" s="136">
        <v>610176</v>
      </c>
      <c r="F111" s="136">
        <v>819516</v>
      </c>
      <c r="G111" s="136">
        <v>802505</v>
      </c>
      <c r="H111" s="136">
        <v>990732</v>
      </c>
      <c r="I111" s="136">
        <v>932569</v>
      </c>
      <c r="J111" s="136">
        <v>1326981</v>
      </c>
      <c r="K111" s="136">
        <v>868745</v>
      </c>
      <c r="L111" s="136">
        <v>663843</v>
      </c>
      <c r="M111" s="136">
        <v>663058</v>
      </c>
      <c r="N111" s="136">
        <v>723536</v>
      </c>
      <c r="O111" s="136">
        <v>874824</v>
      </c>
      <c r="P111" s="136">
        <v>841636</v>
      </c>
      <c r="Q111" s="136">
        <v>833414</v>
      </c>
    </row>
    <row r="112" spans="1:18" s="2" customFormat="1" ht="15" customHeight="1" x14ac:dyDescent="0.15">
      <c r="A112" s="1"/>
      <c r="B112" s="2" t="s">
        <v>52</v>
      </c>
      <c r="C112" s="136">
        <v>20592</v>
      </c>
      <c r="D112" s="136">
        <v>15523</v>
      </c>
      <c r="E112" s="136">
        <v>13910</v>
      </c>
      <c r="F112" s="136">
        <v>18728</v>
      </c>
      <c r="G112" s="136">
        <v>21399</v>
      </c>
      <c r="H112" s="136">
        <v>21898</v>
      </c>
      <c r="I112" s="136">
        <v>23245</v>
      </c>
      <c r="J112" s="136">
        <v>22253</v>
      </c>
      <c r="K112" s="136">
        <v>22830</v>
      </c>
      <c r="L112" s="136">
        <v>25820</v>
      </c>
      <c r="M112" s="136">
        <v>23051</v>
      </c>
      <c r="N112" s="136">
        <v>17531</v>
      </c>
      <c r="O112" s="136">
        <v>20804</v>
      </c>
      <c r="P112" s="136">
        <v>16708</v>
      </c>
      <c r="Q112" s="136">
        <v>16269</v>
      </c>
    </row>
    <row r="113" spans="1:17" s="2" customFormat="1" ht="15" customHeight="1" x14ac:dyDescent="0.15">
      <c r="A113" s="1"/>
      <c r="B113" s="2" t="s">
        <v>53</v>
      </c>
      <c r="C113" s="136">
        <v>183</v>
      </c>
      <c r="D113" s="136">
        <v>428</v>
      </c>
      <c r="E113" s="136">
        <v>330</v>
      </c>
      <c r="F113" s="136">
        <v>218</v>
      </c>
      <c r="G113" s="136">
        <v>765</v>
      </c>
      <c r="H113" s="136">
        <f>496+870</f>
        <v>1366</v>
      </c>
      <c r="I113" s="136">
        <f>512+491</f>
        <v>1003</v>
      </c>
      <c r="J113" s="136">
        <f>517+581</f>
        <v>1098</v>
      </c>
      <c r="K113" s="136">
        <f>10514+639</f>
        <v>11153</v>
      </c>
      <c r="L113" s="136">
        <f>17621+180</f>
        <v>17801</v>
      </c>
      <c r="M113" s="136">
        <f>16651+178</f>
        <v>16829</v>
      </c>
      <c r="N113" s="136">
        <f>7242+73</f>
        <v>7315</v>
      </c>
      <c r="O113" s="136">
        <f>9787+783</f>
        <v>10570</v>
      </c>
      <c r="P113" s="136">
        <f>13962+333</f>
        <v>14295</v>
      </c>
      <c r="Q113" s="136">
        <v>18410</v>
      </c>
    </row>
    <row r="114" spans="1:17" s="2" customFormat="1" ht="15" customHeight="1" x14ac:dyDescent="0.15">
      <c r="A114" s="1"/>
      <c r="B114" s="2" t="s">
        <v>54</v>
      </c>
      <c r="C114" s="136">
        <v>5695</v>
      </c>
      <c r="D114" s="136">
        <v>6472</v>
      </c>
      <c r="E114" s="136">
        <v>16565</v>
      </c>
      <c r="F114" s="136">
        <v>15160</v>
      </c>
      <c r="G114" s="136">
        <v>6417</v>
      </c>
      <c r="H114" s="136">
        <v>7711</v>
      </c>
      <c r="I114" s="136">
        <v>18237</v>
      </c>
      <c r="J114" s="136">
        <v>16253</v>
      </c>
      <c r="K114" s="136">
        <v>7686</v>
      </c>
      <c r="L114" s="136">
        <v>8826</v>
      </c>
      <c r="M114" s="136">
        <v>8982</v>
      </c>
      <c r="N114" s="136">
        <v>13102</v>
      </c>
      <c r="O114" s="136">
        <v>6423</v>
      </c>
      <c r="P114" s="136">
        <v>7171</v>
      </c>
      <c r="Q114" s="136">
        <v>4336</v>
      </c>
    </row>
    <row r="115" spans="1:17" s="2" customFormat="1" ht="15" customHeight="1" x14ac:dyDescent="0.15">
      <c r="A115" s="1"/>
      <c r="B115" s="17" t="s">
        <v>8</v>
      </c>
      <c r="C115" s="136">
        <v>955861</v>
      </c>
      <c r="D115" s="136">
        <v>843608</v>
      </c>
      <c r="E115" s="136">
        <v>851047</v>
      </c>
      <c r="F115" s="136">
        <v>710206</v>
      </c>
      <c r="G115" s="136">
        <v>833520</v>
      </c>
      <c r="H115" s="136">
        <v>701392</v>
      </c>
      <c r="I115" s="136">
        <v>856804</v>
      </c>
      <c r="J115" s="136">
        <v>931899</v>
      </c>
      <c r="K115" s="136">
        <v>946038</v>
      </c>
      <c r="L115" s="136">
        <v>876728</v>
      </c>
      <c r="M115" s="136">
        <v>964818</v>
      </c>
      <c r="N115" s="136">
        <v>1201522</v>
      </c>
      <c r="O115" s="136">
        <v>1073664</v>
      </c>
      <c r="P115" s="136">
        <v>1116563</v>
      </c>
      <c r="Q115" s="136">
        <v>1035502</v>
      </c>
    </row>
    <row r="116" spans="1:17" s="2" customFormat="1" ht="15" customHeight="1" x14ac:dyDescent="0.15">
      <c r="A116" s="1"/>
      <c r="B116" s="2" t="s">
        <v>55</v>
      </c>
      <c r="C116" s="136">
        <v>894106</v>
      </c>
      <c r="D116" s="136">
        <v>913181</v>
      </c>
      <c r="E116" s="136">
        <v>1011841</v>
      </c>
      <c r="F116" s="136">
        <v>995893</v>
      </c>
      <c r="G116" s="136">
        <v>963614</v>
      </c>
      <c r="H116" s="136">
        <v>941526</v>
      </c>
      <c r="I116" s="136">
        <v>862885</v>
      </c>
      <c r="J116" s="136">
        <v>935822</v>
      </c>
      <c r="K116" s="136">
        <v>1050242</v>
      </c>
      <c r="L116" s="136">
        <v>1060796</v>
      </c>
      <c r="M116" s="136">
        <v>1018195</v>
      </c>
      <c r="N116" s="136">
        <v>1037021</v>
      </c>
      <c r="O116" s="136">
        <v>1071315</v>
      </c>
      <c r="P116" s="136">
        <v>1071583</v>
      </c>
      <c r="Q116" s="136">
        <v>1026514</v>
      </c>
    </row>
    <row r="117" spans="1:17" ht="12" customHeight="1" x14ac:dyDescent="0.2">
      <c r="C117" s="144"/>
      <c r="D117" s="144"/>
      <c r="E117" s="144"/>
      <c r="F117" s="144"/>
      <c r="G117" s="144"/>
      <c r="H117" s="144"/>
      <c r="I117" s="144"/>
      <c r="J117" s="144"/>
      <c r="K117" s="136"/>
      <c r="L117" s="136"/>
      <c r="M117" s="136"/>
      <c r="N117" s="136"/>
      <c r="O117" s="136"/>
      <c r="P117" s="136"/>
      <c r="Q117" s="136"/>
    </row>
    <row r="118" spans="1:17" s="10" customFormat="1" ht="15.95" customHeight="1" x14ac:dyDescent="0.15">
      <c r="A118" s="7">
        <v>10</v>
      </c>
      <c r="B118" s="49" t="s">
        <v>57</v>
      </c>
      <c r="C118" s="22">
        <v>2037211</v>
      </c>
      <c r="D118" s="22">
        <f t="shared" ref="D118:I118" si="31">SUM(D119:D126)</f>
        <v>1966916</v>
      </c>
      <c r="E118" s="22">
        <f t="shared" si="31"/>
        <v>2049110</v>
      </c>
      <c r="F118" s="22">
        <f t="shared" si="31"/>
        <v>2105579</v>
      </c>
      <c r="G118" s="22">
        <f t="shared" si="31"/>
        <v>2296713</v>
      </c>
      <c r="H118" s="22">
        <f t="shared" si="31"/>
        <v>2397089</v>
      </c>
      <c r="I118" s="22">
        <f t="shared" si="31"/>
        <v>2500812</v>
      </c>
      <c r="J118" s="22">
        <f>SUM(J119:J126)</f>
        <v>2766456</v>
      </c>
      <c r="K118" s="22">
        <f>SUM(K119:K126)</f>
        <v>2814622</v>
      </c>
      <c r="L118" s="22">
        <f>SUM(L119:L126)</f>
        <v>2685315</v>
      </c>
      <c r="M118" s="22">
        <v>2671163</v>
      </c>
      <c r="N118" s="22">
        <f>SUM(N119:N126)</f>
        <v>2767501</v>
      </c>
      <c r="O118" s="22">
        <f>SUM(O119:O126)</f>
        <v>2935516</v>
      </c>
      <c r="P118" s="22">
        <f>SUM(P119:P126)</f>
        <v>2781498</v>
      </c>
      <c r="Q118" s="22">
        <f>SUM(Q119:Q126)</f>
        <v>2649595</v>
      </c>
    </row>
    <row r="119" spans="1:17" s="2" customFormat="1" ht="15" customHeight="1" x14ac:dyDescent="0.15">
      <c r="A119" s="1"/>
      <c r="B119" s="2" t="s">
        <v>14</v>
      </c>
      <c r="C119" s="136">
        <v>445344</v>
      </c>
      <c r="D119" s="136">
        <v>457571</v>
      </c>
      <c r="E119" s="136">
        <v>461647</v>
      </c>
      <c r="F119" s="136">
        <v>413585</v>
      </c>
      <c r="G119" s="136">
        <v>461910</v>
      </c>
      <c r="H119" s="136">
        <v>513923</v>
      </c>
      <c r="I119" s="136">
        <v>550318</v>
      </c>
      <c r="J119" s="136">
        <v>808383</v>
      </c>
      <c r="K119" s="136">
        <v>952158</v>
      </c>
      <c r="L119" s="136">
        <v>911169</v>
      </c>
      <c r="M119" s="136">
        <v>865182</v>
      </c>
      <c r="N119" s="136">
        <v>994722</v>
      </c>
      <c r="O119" s="136">
        <v>940932</v>
      </c>
      <c r="P119" s="136">
        <v>930942</v>
      </c>
      <c r="Q119" s="136">
        <v>952346</v>
      </c>
    </row>
    <row r="120" spans="1:17" s="2" customFormat="1" ht="15" customHeight="1" x14ac:dyDescent="0.15">
      <c r="A120" s="1"/>
      <c r="B120" s="2" t="s">
        <v>50</v>
      </c>
      <c r="C120" s="136">
        <v>155413</v>
      </c>
      <c r="D120" s="136">
        <v>112957</v>
      </c>
      <c r="E120" s="136">
        <v>139056</v>
      </c>
      <c r="F120" s="136">
        <v>239350</v>
      </c>
      <c r="G120" s="136">
        <v>251833</v>
      </c>
      <c r="H120" s="136">
        <v>274732</v>
      </c>
      <c r="I120" s="136">
        <v>248795</v>
      </c>
      <c r="J120" s="136">
        <v>55201</v>
      </c>
      <c r="K120" s="136">
        <v>61151</v>
      </c>
      <c r="L120" s="136">
        <v>50245</v>
      </c>
      <c r="M120" s="136">
        <v>59517</v>
      </c>
      <c r="N120" s="136">
        <v>59548</v>
      </c>
      <c r="O120" s="136">
        <v>64431</v>
      </c>
      <c r="P120" s="136">
        <v>64802</v>
      </c>
      <c r="Q120" s="136">
        <v>63507</v>
      </c>
    </row>
    <row r="121" spans="1:17" s="2" customFormat="1" ht="15" customHeight="1" x14ac:dyDescent="0.15">
      <c r="A121" s="1"/>
      <c r="B121" s="2" t="s">
        <v>16</v>
      </c>
      <c r="C121" s="136">
        <v>348755</v>
      </c>
      <c r="D121" s="136">
        <v>288854</v>
      </c>
      <c r="E121" s="136">
        <v>311756</v>
      </c>
      <c r="F121" s="136">
        <v>312116</v>
      </c>
      <c r="G121" s="136">
        <v>350488</v>
      </c>
      <c r="H121" s="136">
        <v>459637</v>
      </c>
      <c r="I121" s="136">
        <v>584134</v>
      </c>
      <c r="J121" s="136">
        <v>525257</v>
      </c>
      <c r="K121" s="136">
        <v>369257</v>
      </c>
      <c r="L121" s="136">
        <v>398785</v>
      </c>
      <c r="M121" s="136">
        <v>447459</v>
      </c>
      <c r="N121" s="136">
        <v>393392</v>
      </c>
      <c r="O121" s="136">
        <v>731220</v>
      </c>
      <c r="P121" s="136">
        <v>554367</v>
      </c>
      <c r="Q121" s="136">
        <v>473952</v>
      </c>
    </row>
    <row r="122" spans="1:17" s="2" customFormat="1" ht="15" customHeight="1" x14ac:dyDescent="0.15">
      <c r="A122" s="1"/>
      <c r="B122" s="2" t="s">
        <v>52</v>
      </c>
      <c r="C122" s="136">
        <v>0</v>
      </c>
      <c r="D122" s="136">
        <v>5870</v>
      </c>
      <c r="E122" s="136">
        <v>5874</v>
      </c>
      <c r="F122" s="136">
        <v>5878</v>
      </c>
      <c r="G122" s="136">
        <v>5880</v>
      </c>
      <c r="H122" s="136">
        <v>5900</v>
      </c>
      <c r="I122" s="136">
        <v>10656</v>
      </c>
      <c r="J122" s="136">
        <v>10680</v>
      </c>
      <c r="K122" s="136">
        <v>10721</v>
      </c>
      <c r="L122" s="136">
        <v>10728</v>
      </c>
      <c r="M122" s="136">
        <v>10818</v>
      </c>
      <c r="N122" s="136">
        <v>22055</v>
      </c>
      <c r="O122" s="136">
        <v>22110</v>
      </c>
      <c r="P122" s="136">
        <v>12091</v>
      </c>
      <c r="Q122" s="136">
        <v>7939</v>
      </c>
    </row>
    <row r="123" spans="1:17" s="2" customFormat="1" ht="15" customHeight="1" x14ac:dyDescent="0.15">
      <c r="A123" s="1"/>
      <c r="B123" s="2" t="s">
        <v>58</v>
      </c>
      <c r="C123" s="136">
        <f>7263+8449</f>
        <v>15712</v>
      </c>
      <c r="D123" s="136">
        <f>7262+8469</f>
        <v>15731</v>
      </c>
      <c r="E123" s="136">
        <f>8087+8093</f>
        <v>16180</v>
      </c>
      <c r="F123" s="136">
        <f>8087+11</f>
        <v>8098</v>
      </c>
      <c r="G123" s="136">
        <f>3190+6184</f>
        <v>9374</v>
      </c>
      <c r="H123" s="136">
        <f>6643+6583</f>
        <v>13226</v>
      </c>
      <c r="I123" s="136">
        <f>5403+9440</f>
        <v>14843</v>
      </c>
      <c r="J123" s="136">
        <f>5410+21328</f>
        <v>26738</v>
      </c>
      <c r="K123" s="136">
        <f>17424+9366</f>
        <v>26790</v>
      </c>
      <c r="L123" s="136">
        <f>10964+23189</f>
        <v>34153</v>
      </c>
      <c r="M123" s="136">
        <f>7710+23757</f>
        <v>31467</v>
      </c>
      <c r="N123" s="136">
        <f>33504+24275</f>
        <v>57779</v>
      </c>
      <c r="O123" s="136">
        <f>4818+40682</f>
        <v>45500</v>
      </c>
      <c r="P123" s="136">
        <f>5834+9275</f>
        <v>15109</v>
      </c>
      <c r="Q123" s="136">
        <v>15247</v>
      </c>
    </row>
    <row r="124" spans="1:17" s="2" customFormat="1" ht="15" customHeight="1" x14ac:dyDescent="0.15">
      <c r="A124" s="1"/>
      <c r="B124" s="2" t="s">
        <v>54</v>
      </c>
      <c r="C124" s="136">
        <v>4521</v>
      </c>
      <c r="D124" s="136">
        <v>5015</v>
      </c>
      <c r="E124" s="136">
        <v>2573</v>
      </c>
      <c r="F124" s="136">
        <v>11474</v>
      </c>
      <c r="G124" s="136">
        <v>15144</v>
      </c>
      <c r="H124" s="136">
        <v>10039</v>
      </c>
      <c r="I124" s="136">
        <v>22906</v>
      </c>
      <c r="J124" s="136">
        <v>9316</v>
      </c>
      <c r="K124" s="136">
        <v>7483</v>
      </c>
      <c r="L124" s="136">
        <v>10300</v>
      </c>
      <c r="M124" s="136">
        <v>13610</v>
      </c>
      <c r="N124" s="136">
        <v>9999</v>
      </c>
      <c r="O124" s="136">
        <v>43297</v>
      </c>
      <c r="P124" s="136">
        <v>70426</v>
      </c>
      <c r="Q124" s="136">
        <v>39677</v>
      </c>
    </row>
    <row r="125" spans="1:17" s="2" customFormat="1" ht="15" customHeight="1" x14ac:dyDescent="0.15">
      <c r="A125" s="1"/>
      <c r="B125" s="17" t="s">
        <v>8</v>
      </c>
      <c r="C125" s="136">
        <v>407003</v>
      </c>
      <c r="D125" s="136">
        <v>398205</v>
      </c>
      <c r="E125" s="136">
        <v>398747</v>
      </c>
      <c r="F125" s="136">
        <v>405011</v>
      </c>
      <c r="G125" s="136">
        <v>439926</v>
      </c>
      <c r="H125" s="136">
        <v>485058</v>
      </c>
      <c r="I125" s="136">
        <v>373807</v>
      </c>
      <c r="J125" s="136">
        <v>501031</v>
      </c>
      <c r="K125" s="136">
        <v>613609</v>
      </c>
      <c r="L125" s="136">
        <v>538600</v>
      </c>
      <c r="M125" s="136">
        <v>541459</v>
      </c>
      <c r="N125" s="136">
        <v>580802</v>
      </c>
      <c r="O125" s="136">
        <v>470631</v>
      </c>
      <c r="P125" s="136">
        <v>486707</v>
      </c>
      <c r="Q125" s="136">
        <v>496385</v>
      </c>
    </row>
    <row r="126" spans="1:17" s="2" customFormat="1" ht="15" customHeight="1" x14ac:dyDescent="0.15">
      <c r="A126" s="1"/>
      <c r="B126" s="2" t="s">
        <v>55</v>
      </c>
      <c r="C126" s="136">
        <v>660463</v>
      </c>
      <c r="D126" s="136">
        <v>682713</v>
      </c>
      <c r="E126" s="136">
        <v>713277</v>
      </c>
      <c r="F126" s="136">
        <v>710067</v>
      </c>
      <c r="G126" s="136">
        <v>762158</v>
      </c>
      <c r="H126" s="136">
        <v>634574</v>
      </c>
      <c r="I126" s="136">
        <v>695353</v>
      </c>
      <c r="J126" s="136">
        <v>829850</v>
      </c>
      <c r="K126" s="136">
        <v>773453</v>
      </c>
      <c r="L126" s="136">
        <v>731335</v>
      </c>
      <c r="M126" s="136">
        <v>701951</v>
      </c>
      <c r="N126" s="136">
        <v>649204</v>
      </c>
      <c r="O126" s="136">
        <v>617395</v>
      </c>
      <c r="P126" s="136">
        <v>647054</v>
      </c>
      <c r="Q126" s="136">
        <v>600542</v>
      </c>
    </row>
    <row r="127" spans="1:17" ht="12" customHeight="1" x14ac:dyDescent="0.2">
      <c r="C127" s="10"/>
      <c r="D127" s="10"/>
      <c r="E127" s="10"/>
      <c r="F127" s="10"/>
      <c r="G127" s="10"/>
      <c r="H127" s="10"/>
      <c r="I127" s="10"/>
      <c r="J127" s="10"/>
      <c r="K127" s="136"/>
      <c r="L127" s="136"/>
      <c r="M127" s="136"/>
      <c r="N127" s="136"/>
      <c r="O127" s="136"/>
      <c r="P127" s="136"/>
      <c r="Q127" s="136"/>
    </row>
    <row r="128" spans="1:17" s="10" customFormat="1" ht="15" customHeight="1" x14ac:dyDescent="0.15">
      <c r="A128" s="7">
        <v>11</v>
      </c>
      <c r="B128" s="12" t="s">
        <v>59</v>
      </c>
      <c r="C128" s="22">
        <v>5155596</v>
      </c>
      <c r="D128" s="22">
        <f t="shared" ref="D128:I128" si="32">SUM(D129:D133)</f>
        <v>5398167</v>
      </c>
      <c r="E128" s="22">
        <f t="shared" si="32"/>
        <v>5309921</v>
      </c>
      <c r="F128" s="22">
        <f t="shared" si="32"/>
        <v>5187266</v>
      </c>
      <c r="G128" s="22">
        <f t="shared" si="32"/>
        <v>5221284</v>
      </c>
      <c r="H128" s="22">
        <f t="shared" si="32"/>
        <v>4893787</v>
      </c>
      <c r="I128" s="22">
        <f t="shared" si="32"/>
        <v>5216695</v>
      </c>
      <c r="J128" s="22">
        <f>SUM(J129:J133)</f>
        <v>4503283</v>
      </c>
      <c r="K128" s="22">
        <f>SUM(K129:K133)</f>
        <v>4711947</v>
      </c>
      <c r="L128" s="22">
        <f>SUM(L129:L133)</f>
        <v>4531789</v>
      </c>
      <c r="M128" s="22">
        <v>4119952</v>
      </c>
      <c r="N128" s="22">
        <f>SUM(N129:N133)</f>
        <v>3876324</v>
      </c>
      <c r="O128" s="22">
        <f>SUM(O129:O133)</f>
        <v>3901985</v>
      </c>
      <c r="P128" s="22">
        <f>SUM(P129:P133)</f>
        <v>3996901</v>
      </c>
      <c r="Q128" s="22">
        <f>SUM(Q129:Q133)</f>
        <v>4033560</v>
      </c>
    </row>
    <row r="129" spans="1:18" s="2" customFormat="1" ht="15" customHeight="1" x14ac:dyDescent="0.15">
      <c r="A129" s="1"/>
      <c r="B129" s="21" t="s">
        <v>10</v>
      </c>
      <c r="C129" s="142">
        <v>3278413</v>
      </c>
      <c r="D129" s="142">
        <v>3252568</v>
      </c>
      <c r="E129" s="142">
        <v>3321311</v>
      </c>
      <c r="F129" s="142">
        <v>3021343</v>
      </c>
      <c r="G129" s="142">
        <v>3070469</v>
      </c>
      <c r="H129" s="142">
        <v>2846151</v>
      </c>
      <c r="I129" s="142">
        <v>2655044</v>
      </c>
      <c r="J129" s="142">
        <v>2466260</v>
      </c>
      <c r="K129" s="136">
        <v>2553892</v>
      </c>
      <c r="L129" s="136">
        <v>2432040</v>
      </c>
      <c r="M129" s="136">
        <v>2223335</v>
      </c>
      <c r="N129" s="136">
        <v>2007436</v>
      </c>
      <c r="O129" s="136">
        <v>1928158</v>
      </c>
      <c r="P129" s="136">
        <v>1966783</v>
      </c>
      <c r="Q129" s="136">
        <v>2043786</v>
      </c>
    </row>
    <row r="130" spans="1:18" s="2" customFormat="1" ht="15" customHeight="1" x14ac:dyDescent="0.15">
      <c r="A130" s="1"/>
      <c r="B130" s="17" t="s">
        <v>11</v>
      </c>
      <c r="C130" s="136">
        <v>235</v>
      </c>
      <c r="D130" s="136">
        <v>560</v>
      </c>
      <c r="E130" s="136">
        <v>7747</v>
      </c>
      <c r="F130" s="136">
        <v>7933</v>
      </c>
      <c r="G130" s="136">
        <v>7933</v>
      </c>
      <c r="H130" s="136">
        <v>12541</v>
      </c>
      <c r="I130" s="136">
        <v>8890</v>
      </c>
      <c r="J130" s="136">
        <v>48888</v>
      </c>
      <c r="K130" s="136">
        <v>48908</v>
      </c>
      <c r="L130" s="136">
        <v>31768</v>
      </c>
      <c r="M130" s="136">
        <v>18267</v>
      </c>
      <c r="N130" s="136">
        <v>17946</v>
      </c>
      <c r="O130" s="136">
        <v>4409</v>
      </c>
      <c r="P130" s="136">
        <v>34699</v>
      </c>
      <c r="Q130" s="136">
        <v>6890</v>
      </c>
    </row>
    <row r="131" spans="1:18" s="2" customFormat="1" ht="15" customHeight="1" x14ac:dyDescent="0.15">
      <c r="A131" s="1"/>
      <c r="B131" s="17" t="s">
        <v>8</v>
      </c>
      <c r="C131" s="136">
        <v>502327</v>
      </c>
      <c r="D131" s="136">
        <v>553454</v>
      </c>
      <c r="E131" s="136">
        <v>564500</v>
      </c>
      <c r="F131" s="136">
        <v>623617</v>
      </c>
      <c r="G131" s="136">
        <v>575897</v>
      </c>
      <c r="H131" s="136">
        <v>560787</v>
      </c>
      <c r="I131" s="136">
        <v>378268</v>
      </c>
      <c r="J131" s="136">
        <v>452021</v>
      </c>
      <c r="K131" s="136">
        <v>481974</v>
      </c>
      <c r="L131" s="136">
        <v>384429</v>
      </c>
      <c r="M131" s="136">
        <v>302346</v>
      </c>
      <c r="N131" s="136">
        <v>341652</v>
      </c>
      <c r="O131" s="136">
        <v>259385</v>
      </c>
      <c r="P131" s="136">
        <v>473075</v>
      </c>
      <c r="Q131" s="136">
        <v>527845</v>
      </c>
    </row>
    <row r="132" spans="1:18" s="2" customFormat="1" ht="15" customHeight="1" x14ac:dyDescent="0.15">
      <c r="A132" s="1"/>
      <c r="B132" s="17" t="s">
        <v>77</v>
      </c>
      <c r="C132" s="136">
        <v>983765</v>
      </c>
      <c r="D132" s="136">
        <v>1202270</v>
      </c>
      <c r="E132" s="136">
        <v>1050853</v>
      </c>
      <c r="F132" s="136">
        <v>1114018</v>
      </c>
      <c r="G132" s="136">
        <v>1134873</v>
      </c>
      <c r="H132" s="136">
        <v>824694</v>
      </c>
      <c r="I132" s="136">
        <v>1527550</v>
      </c>
      <c r="J132" s="136">
        <v>864233</v>
      </c>
      <c r="K132" s="136">
        <v>930465</v>
      </c>
      <c r="L132" s="136">
        <v>989786</v>
      </c>
      <c r="M132" s="136">
        <v>846509</v>
      </c>
      <c r="N132" s="136">
        <v>782900</v>
      </c>
      <c r="O132" s="136">
        <v>1020009</v>
      </c>
      <c r="P132" s="136">
        <v>871600</v>
      </c>
      <c r="Q132" s="136">
        <v>782731</v>
      </c>
    </row>
    <row r="133" spans="1:18" s="2" customFormat="1" ht="15" customHeight="1" x14ac:dyDescent="0.15">
      <c r="A133" s="1"/>
      <c r="B133" s="17" t="s">
        <v>80</v>
      </c>
      <c r="C133" s="136">
        <v>390856</v>
      </c>
      <c r="D133" s="136">
        <v>389315</v>
      </c>
      <c r="E133" s="136">
        <v>365510</v>
      </c>
      <c r="F133" s="136">
        <v>420355</v>
      </c>
      <c r="G133" s="136">
        <v>432112</v>
      </c>
      <c r="H133" s="136">
        <v>649614</v>
      </c>
      <c r="I133" s="136">
        <v>646943</v>
      </c>
      <c r="J133" s="136">
        <v>671881</v>
      </c>
      <c r="K133" s="136">
        <v>696708</v>
      </c>
      <c r="L133" s="136">
        <v>693766</v>
      </c>
      <c r="M133" s="136">
        <v>729651</v>
      </c>
      <c r="N133" s="136">
        <v>726390</v>
      </c>
      <c r="O133" s="136">
        <v>690024</v>
      </c>
      <c r="P133" s="136">
        <v>650744</v>
      </c>
      <c r="Q133" s="136">
        <v>672308</v>
      </c>
    </row>
    <row r="134" spans="1:18" s="10" customFormat="1" ht="12" customHeight="1" x14ac:dyDescent="0.15">
      <c r="A134" s="7"/>
      <c r="B134" s="25"/>
      <c r="K134" s="136"/>
      <c r="L134" s="136"/>
      <c r="M134" s="136"/>
      <c r="N134" s="136"/>
      <c r="O134" s="136"/>
      <c r="P134" s="136"/>
      <c r="Q134" s="136"/>
    </row>
    <row r="135" spans="1:18" ht="15.95" customHeight="1" x14ac:dyDescent="0.2">
      <c r="A135" s="7">
        <v>12</v>
      </c>
      <c r="B135" s="12" t="s">
        <v>60</v>
      </c>
      <c r="C135" s="22">
        <v>74049</v>
      </c>
      <c r="D135" s="22">
        <v>0</v>
      </c>
      <c r="E135" s="22">
        <v>54935</v>
      </c>
      <c r="F135" s="22">
        <v>0</v>
      </c>
      <c r="G135" s="22">
        <v>0</v>
      </c>
      <c r="H135" s="22">
        <v>0</v>
      </c>
      <c r="I135" s="22">
        <v>0</v>
      </c>
      <c r="J135" s="22">
        <v>57061</v>
      </c>
      <c r="K135" s="22">
        <v>7568</v>
      </c>
      <c r="L135" s="22">
        <v>0</v>
      </c>
      <c r="M135" s="22">
        <v>26426</v>
      </c>
      <c r="N135" s="22">
        <v>0</v>
      </c>
      <c r="O135" s="22">
        <v>0</v>
      </c>
      <c r="P135" s="22">
        <v>0</v>
      </c>
      <c r="Q135" s="22">
        <v>0</v>
      </c>
    </row>
    <row r="136" spans="1:18" ht="15.95" customHeight="1" x14ac:dyDescent="0.2">
      <c r="A136" s="7">
        <v>13</v>
      </c>
      <c r="B136" s="12" t="s">
        <v>61</v>
      </c>
      <c r="C136" s="22">
        <v>235450</v>
      </c>
      <c r="D136" s="22">
        <f>207238</f>
        <v>207238</v>
      </c>
      <c r="E136" s="22">
        <v>194877</v>
      </c>
      <c r="F136" s="22">
        <v>225288</v>
      </c>
      <c r="G136" s="22">
        <v>209813</v>
      </c>
      <c r="H136" s="22">
        <v>216333</v>
      </c>
      <c r="I136" s="22">
        <v>273264</v>
      </c>
      <c r="J136" s="22">
        <v>196598</v>
      </c>
      <c r="K136" s="22">
        <v>216582</v>
      </c>
      <c r="L136" s="22">
        <v>254241</v>
      </c>
      <c r="M136" s="22">
        <v>275339</v>
      </c>
      <c r="N136" s="22">
        <v>210650</v>
      </c>
      <c r="O136" s="22">
        <v>212492</v>
      </c>
      <c r="P136" s="22">
        <v>188263</v>
      </c>
      <c r="Q136" s="22">
        <v>330061</v>
      </c>
    </row>
    <row r="137" spans="1:18" ht="15.95" customHeight="1" x14ac:dyDescent="0.2">
      <c r="A137" s="7">
        <v>14</v>
      </c>
      <c r="B137" s="12" t="s">
        <v>62</v>
      </c>
      <c r="C137" s="22">
        <f t="shared" ref="C137:D137" si="33">C136+C135+C128+C118+C108+C98</f>
        <v>12681440</v>
      </c>
      <c r="D137" s="22">
        <f t="shared" si="33"/>
        <v>12558946</v>
      </c>
      <c r="E137" s="22">
        <f t="shared" ref="E137:K137" si="34">E136+E135+E128+E118+E108+E98</f>
        <v>12413254</v>
      </c>
      <c r="F137" s="22">
        <f t="shared" si="34"/>
        <v>12660134</v>
      </c>
      <c r="G137" s="22">
        <f t="shared" si="34"/>
        <v>12808820</v>
      </c>
      <c r="H137" s="22">
        <f t="shared" si="34"/>
        <v>12731348</v>
      </c>
      <c r="I137" s="22">
        <f t="shared" si="34"/>
        <v>13156421</v>
      </c>
      <c r="J137" s="22">
        <f t="shared" si="34"/>
        <v>13356516</v>
      </c>
      <c r="K137" s="22">
        <f t="shared" si="34"/>
        <v>13450818</v>
      </c>
      <c r="L137" s="22">
        <f t="shared" ref="L137:Q137" si="35">L136+L135+L128+L118+L108+L98</f>
        <v>12670460</v>
      </c>
      <c r="M137" s="22">
        <f t="shared" si="35"/>
        <v>12252857</v>
      </c>
      <c r="N137" s="22">
        <f t="shared" si="35"/>
        <v>12784430</v>
      </c>
      <c r="O137" s="22">
        <f t="shared" si="35"/>
        <v>12788597</v>
      </c>
      <c r="P137" s="22">
        <f t="shared" si="35"/>
        <v>12918339</v>
      </c>
      <c r="Q137" s="22">
        <f t="shared" si="35"/>
        <v>12833785</v>
      </c>
      <c r="R137" s="145"/>
    </row>
    <row r="138" spans="1:18" ht="15.95" customHeight="1" x14ac:dyDescent="0.2">
      <c r="A138" s="7">
        <v>15</v>
      </c>
      <c r="B138" s="49" t="s">
        <v>63</v>
      </c>
      <c r="C138" s="22">
        <v>1562361</v>
      </c>
      <c r="D138" s="22">
        <v>1591554</v>
      </c>
      <c r="E138" s="22">
        <v>1636323</v>
      </c>
      <c r="F138" s="22">
        <v>1657885</v>
      </c>
      <c r="G138" s="22">
        <v>1704272</v>
      </c>
      <c r="H138" s="22">
        <v>1753315</v>
      </c>
      <c r="I138" s="22">
        <v>1797618</v>
      </c>
      <c r="J138" s="22">
        <v>1810978</v>
      </c>
      <c r="K138" s="22">
        <v>1845594</v>
      </c>
      <c r="L138" s="22">
        <v>1892178</v>
      </c>
      <c r="M138" s="22">
        <v>1947746</v>
      </c>
      <c r="N138" s="22">
        <v>2042233</v>
      </c>
      <c r="O138" s="22">
        <v>2114992</v>
      </c>
      <c r="P138" s="22">
        <v>2169678</v>
      </c>
      <c r="Q138" s="22">
        <v>2076677</v>
      </c>
    </row>
    <row r="139" spans="1:18" ht="15.75" customHeight="1" x14ac:dyDescent="0.2">
      <c r="A139" s="7">
        <v>16</v>
      </c>
      <c r="B139" s="12" t="s">
        <v>64</v>
      </c>
      <c r="C139" s="22">
        <f t="shared" ref="C139:H139" si="36">C138+C137</f>
        <v>14243801</v>
      </c>
      <c r="D139" s="22">
        <f t="shared" si="36"/>
        <v>14150500</v>
      </c>
      <c r="E139" s="22">
        <f t="shared" si="36"/>
        <v>14049577</v>
      </c>
      <c r="F139" s="22">
        <f t="shared" si="36"/>
        <v>14318019</v>
      </c>
      <c r="G139" s="22">
        <f t="shared" si="36"/>
        <v>14513092</v>
      </c>
      <c r="H139" s="22">
        <f t="shared" si="36"/>
        <v>14484663</v>
      </c>
      <c r="I139" s="22">
        <f>I138+I137</f>
        <v>14954039</v>
      </c>
      <c r="J139" s="22">
        <f>J138+J137</f>
        <v>15167494</v>
      </c>
      <c r="K139" s="22">
        <f>K138+K137</f>
        <v>15296412</v>
      </c>
      <c r="L139" s="22">
        <f>L138+L137</f>
        <v>14562638</v>
      </c>
      <c r="M139" s="22">
        <v>14200602</v>
      </c>
      <c r="N139" s="22">
        <f>N138+N137</f>
        <v>14826663</v>
      </c>
      <c r="O139" s="22">
        <f>O138+O137</f>
        <v>14903589</v>
      </c>
      <c r="P139" s="22">
        <f>P138+P137</f>
        <v>15088017</v>
      </c>
      <c r="Q139" s="22">
        <f>Q138+Q137</f>
        <v>14910462</v>
      </c>
    </row>
    <row r="140" spans="1:18" s="2" customFormat="1" ht="12" customHeight="1" x14ac:dyDescent="0.15">
      <c r="A140" s="1"/>
      <c r="B140" s="2" t="s">
        <v>65</v>
      </c>
      <c r="K140" s="18"/>
      <c r="L140" s="18"/>
      <c r="M140" s="18"/>
      <c r="N140" s="18"/>
      <c r="O140" s="18"/>
      <c r="P140" s="18"/>
      <c r="Q140" s="18"/>
    </row>
    <row r="141" spans="1:18" s="2" customFormat="1" ht="12" hidden="1" customHeight="1" x14ac:dyDescent="0.15">
      <c r="A141" s="1"/>
      <c r="B141" s="2" t="s">
        <v>67</v>
      </c>
      <c r="K141" s="18"/>
      <c r="L141" s="18"/>
      <c r="M141" s="18"/>
      <c r="N141" s="18"/>
      <c r="O141" s="18"/>
      <c r="P141" s="18"/>
      <c r="Q141" s="18"/>
    </row>
    <row r="142" spans="1:18" ht="12" hidden="1" customHeight="1" x14ac:dyDescent="0.2">
      <c r="B142" s="2" t="s">
        <v>68</v>
      </c>
      <c r="O142" s="18"/>
      <c r="P142" s="18"/>
      <c r="Q142" s="18"/>
    </row>
    <row r="143" spans="1:18" ht="12" hidden="1" customHeight="1" x14ac:dyDescent="0.2">
      <c r="B143" s="2" t="s">
        <v>69</v>
      </c>
      <c r="O143" s="18"/>
      <c r="P143" s="18"/>
      <c r="Q143" s="18"/>
    </row>
    <row r="144" spans="1:18" s="2" customFormat="1" ht="12" hidden="1" customHeight="1" x14ac:dyDescent="0.15">
      <c r="A144" s="5"/>
      <c r="B144" s="2" t="s">
        <v>70</v>
      </c>
      <c r="K144" s="18"/>
      <c r="L144" s="18"/>
      <c r="M144" s="18"/>
      <c r="N144" s="18"/>
      <c r="O144" s="18"/>
      <c r="P144" s="18"/>
      <c r="Q144" s="18"/>
    </row>
    <row r="145" spans="1:17" ht="12" hidden="1" customHeight="1" x14ac:dyDescent="0.2">
      <c r="B145" s="2" t="s">
        <v>71</v>
      </c>
      <c r="O145" s="18"/>
      <c r="P145" s="18"/>
      <c r="Q145" s="18"/>
    </row>
    <row r="146" spans="1:17" s="2" customFormat="1" ht="12" customHeight="1" x14ac:dyDescent="0.15">
      <c r="A146" s="1"/>
      <c r="B146" s="2" t="s">
        <v>100</v>
      </c>
      <c r="K146" s="18"/>
      <c r="L146" s="18"/>
      <c r="M146" s="18"/>
      <c r="N146" s="18"/>
      <c r="O146" s="18"/>
      <c r="P146" s="18"/>
      <c r="Q146" s="18"/>
    </row>
    <row r="147" spans="1:17" ht="15.95" customHeight="1" x14ac:dyDescent="0.2">
      <c r="Q147" s="145"/>
    </row>
  </sheetData>
  <sheetProtection algorithmName="SHA-512" hashValue="4ByDcNNS69lG/t+UxiffSo1snOqciyoUv2pUvgaiLq2wVZmjjvR2+4rK+AzUZFKBxo/+smW9MIGm10on/UiBuQ==" saltValue="G8Vftvt/Rcc6N/ghvMa0Jw==" spinCount="100000" sheet="1" objects="1" scenarios="1"/>
  <phoneticPr fontId="2" type="noConversion"/>
  <pageMargins left="0.75" right="0.75" top="0.73802083333333302" bottom="0.49" header="0.5" footer="0.5"/>
  <pageSetup paperSize="5" scale="65" orientation="landscape" r:id="rId1"/>
  <headerFooter alignWithMargins="0"/>
  <rowBreaks count="1" manualBreakCount="1">
    <brk id="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50"/>
  <sheetViews>
    <sheetView showGridLines="0" topLeftCell="A121" workbookViewId="0">
      <selection activeCell="C121" sqref="C1:C65536"/>
    </sheetView>
  </sheetViews>
  <sheetFormatPr defaultColWidth="0.85546875" defaultRowHeight="15.95" customHeight="1" x14ac:dyDescent="0.2"/>
  <cols>
    <col min="1" max="1" width="3.7109375" style="51" customWidth="1"/>
    <col min="2" max="2" width="61" style="52" customWidth="1"/>
    <col min="3" max="8" width="12.7109375" style="52" customWidth="1"/>
    <col min="9" max="10" width="12.7109375" style="4" customWidth="1"/>
    <col min="11" max="11" width="12.7109375" style="52" customWidth="1"/>
    <col min="12" max="16384" width="0.85546875" style="52"/>
  </cols>
  <sheetData>
    <row r="1" spans="1:11" ht="42" customHeight="1" x14ac:dyDescent="0.2"/>
    <row r="2" spans="1:11" ht="20.100000000000001" customHeight="1" thickBot="1" x14ac:dyDescent="0.25"/>
    <row r="3" spans="1:11" ht="15.95" customHeight="1" thickBot="1" x14ac:dyDescent="0.25">
      <c r="B3" s="165" t="s">
        <v>0</v>
      </c>
      <c r="C3" s="166"/>
      <c r="D3" s="166"/>
      <c r="E3" s="166"/>
      <c r="F3" s="166"/>
      <c r="G3" s="166"/>
      <c r="H3" s="166"/>
      <c r="I3" s="128"/>
      <c r="J3" s="128"/>
      <c r="K3" s="53"/>
    </row>
    <row r="4" spans="1:11" ht="9.9499999999999993" customHeight="1" x14ac:dyDescent="0.2"/>
    <row r="5" spans="1:11" s="56" customFormat="1" ht="18.95" customHeight="1" x14ac:dyDescent="0.2">
      <c r="A5" s="54"/>
      <c r="B5" s="55" t="s">
        <v>1</v>
      </c>
      <c r="C5" s="9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  <c r="J5" s="9">
        <v>2014</v>
      </c>
      <c r="K5" s="9">
        <v>2015</v>
      </c>
    </row>
    <row r="6" spans="1:11" s="56" customFormat="1" ht="15" customHeight="1" x14ac:dyDescent="0.2">
      <c r="A6" s="54">
        <v>1</v>
      </c>
      <c r="B6" s="57" t="s">
        <v>3</v>
      </c>
      <c r="C6" s="58"/>
      <c r="D6" s="58"/>
      <c r="E6" s="58"/>
      <c r="F6" s="58"/>
      <c r="G6" s="58"/>
      <c r="I6" s="10"/>
      <c r="J6" s="10"/>
    </row>
    <row r="7" spans="1:11" s="56" customFormat="1" ht="15.95" customHeight="1" x14ac:dyDescent="0.15">
      <c r="A7" s="54"/>
      <c r="B7" s="59" t="s">
        <v>83</v>
      </c>
      <c r="C7" s="60">
        <v>46562</v>
      </c>
      <c r="D7" s="60">
        <v>38962</v>
      </c>
      <c r="E7" s="60">
        <v>42859</v>
      </c>
      <c r="F7" s="60">
        <v>44452</v>
      </c>
      <c r="G7" s="60">
        <v>47090</v>
      </c>
      <c r="H7" s="61">
        <v>62354</v>
      </c>
      <c r="I7" s="13">
        <v>54574</v>
      </c>
      <c r="J7" s="22">
        <v>47706</v>
      </c>
      <c r="K7" s="22">
        <v>53868</v>
      </c>
    </row>
    <row r="8" spans="1:11" s="56" customFormat="1" ht="15.95" customHeight="1" x14ac:dyDescent="0.15">
      <c r="A8" s="54"/>
      <c r="B8" s="62" t="s">
        <v>4</v>
      </c>
      <c r="C8" s="60">
        <f>C9+C14</f>
        <v>4674976</v>
      </c>
      <c r="D8" s="60">
        <f>D9+D14</f>
        <v>5346893</v>
      </c>
      <c r="E8" s="60">
        <f>E9+E14</f>
        <v>4721684</v>
      </c>
      <c r="F8" s="60">
        <f>F9+F14</f>
        <v>4550157</v>
      </c>
      <c r="G8" s="60">
        <v>4285983</v>
      </c>
      <c r="H8" s="61">
        <v>4901148</v>
      </c>
      <c r="I8" s="13">
        <v>5341875</v>
      </c>
      <c r="J8" s="22">
        <v>3486399</v>
      </c>
      <c r="K8" s="22">
        <v>3926768</v>
      </c>
    </row>
    <row r="9" spans="1:11" ht="15.95" customHeight="1" x14ac:dyDescent="0.2">
      <c r="B9" s="63" t="s">
        <v>5</v>
      </c>
      <c r="C9" s="60">
        <f>SUM(C10:C12)</f>
        <v>9417</v>
      </c>
      <c r="D9" s="60">
        <v>184669</v>
      </c>
      <c r="E9" s="60">
        <v>156232</v>
      </c>
      <c r="F9" s="64">
        <v>327199</v>
      </c>
      <c r="G9" s="64">
        <v>223537</v>
      </c>
      <c r="H9" s="64">
        <v>265231</v>
      </c>
      <c r="I9" s="16">
        <v>186162</v>
      </c>
      <c r="J9" s="16">
        <v>156898</v>
      </c>
      <c r="K9" s="16">
        <v>37875</v>
      </c>
    </row>
    <row r="10" spans="1:11" s="70" customFormat="1" ht="15" customHeight="1" x14ac:dyDescent="0.15">
      <c r="A10" s="65"/>
      <c r="B10" s="66" t="s">
        <v>6</v>
      </c>
      <c r="C10" s="67">
        <v>9417</v>
      </c>
      <c r="D10" s="67">
        <v>9669</v>
      </c>
      <c r="E10" s="68">
        <v>56232</v>
      </c>
      <c r="F10" s="68">
        <v>22199</v>
      </c>
      <c r="G10" s="68">
        <v>23537</v>
      </c>
      <c r="H10" s="69">
        <v>94720</v>
      </c>
      <c r="I10" s="18">
        <v>134825</v>
      </c>
      <c r="J10" s="18">
        <f>56731+25167</f>
        <v>81898</v>
      </c>
      <c r="K10" s="18">
        <v>29653</v>
      </c>
    </row>
    <row r="11" spans="1:11" s="70" customFormat="1" ht="15" customHeight="1" x14ac:dyDescent="0.15">
      <c r="A11" s="65"/>
      <c r="B11" s="66" t="s">
        <v>7</v>
      </c>
      <c r="C11" s="71">
        <v>0</v>
      </c>
      <c r="D11" s="69">
        <v>175000</v>
      </c>
      <c r="E11" s="68">
        <v>100000</v>
      </c>
      <c r="F11" s="68">
        <v>305000</v>
      </c>
      <c r="G11" s="68">
        <v>200000</v>
      </c>
      <c r="H11" s="69">
        <v>170511</v>
      </c>
      <c r="I11" s="18">
        <v>51337</v>
      </c>
      <c r="J11" s="19">
        <v>75000</v>
      </c>
      <c r="K11" s="18">
        <v>8222</v>
      </c>
    </row>
    <row r="12" spans="1:11" s="70" customFormat="1" ht="15" customHeight="1" x14ac:dyDescent="0.15">
      <c r="A12" s="65"/>
      <c r="B12" s="66" t="s">
        <v>8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2">
        <v>0</v>
      </c>
      <c r="I12" s="19">
        <v>0</v>
      </c>
      <c r="J12" s="19">
        <v>0</v>
      </c>
      <c r="K12" s="19">
        <v>0</v>
      </c>
    </row>
    <row r="13" spans="1:11" s="56" customFormat="1" ht="12.95" customHeight="1" x14ac:dyDescent="0.15">
      <c r="A13" s="54"/>
      <c r="B13" s="73"/>
      <c r="C13" s="74"/>
      <c r="D13" s="75"/>
      <c r="E13" s="76"/>
      <c r="F13" s="68"/>
      <c r="G13" s="68"/>
      <c r="I13" s="10"/>
      <c r="J13" s="10"/>
      <c r="K13" s="10"/>
    </row>
    <row r="14" spans="1:11" ht="15.95" customHeight="1" x14ac:dyDescent="0.2">
      <c r="B14" s="63" t="s">
        <v>9</v>
      </c>
      <c r="C14" s="60">
        <v>4665559</v>
      </c>
      <c r="D14" s="60">
        <v>5162224</v>
      </c>
      <c r="E14" s="60">
        <v>4565452</v>
      </c>
      <c r="F14" s="64">
        <v>4222958</v>
      </c>
      <c r="G14" s="64">
        <v>4062446</v>
      </c>
      <c r="H14" s="64">
        <v>4635917</v>
      </c>
      <c r="I14" s="16">
        <f>SUM(I15:I19)</f>
        <v>5155713</v>
      </c>
      <c r="J14" s="16">
        <f>SUM(J15:J19)</f>
        <v>3329501</v>
      </c>
      <c r="K14" s="16">
        <f t="shared" ref="K14" si="0">SUM(K15:K19)</f>
        <v>3888893</v>
      </c>
    </row>
    <row r="15" spans="1:11" s="70" customFormat="1" ht="15" customHeight="1" x14ac:dyDescent="0.15">
      <c r="A15" s="65"/>
      <c r="B15" s="77" t="s">
        <v>10</v>
      </c>
      <c r="C15" s="78">
        <v>4665559</v>
      </c>
      <c r="D15" s="78">
        <v>5162224</v>
      </c>
      <c r="E15" s="78">
        <v>3343419</v>
      </c>
      <c r="F15" s="68">
        <v>3455730</v>
      </c>
      <c r="G15" s="68">
        <v>3524670</v>
      </c>
      <c r="H15" s="69">
        <v>3694352</v>
      </c>
      <c r="I15" s="18">
        <v>3942004</v>
      </c>
      <c r="J15" s="18">
        <v>2083006</v>
      </c>
      <c r="K15" s="18">
        <v>2417249</v>
      </c>
    </row>
    <row r="16" spans="1:11" s="70" customFormat="1" ht="15" customHeight="1" x14ac:dyDescent="0.15">
      <c r="A16" s="65"/>
      <c r="B16" s="66" t="s">
        <v>11</v>
      </c>
      <c r="C16" s="79" t="s">
        <v>12</v>
      </c>
      <c r="D16" s="79" t="s">
        <v>12</v>
      </c>
      <c r="E16" s="78">
        <v>1222033</v>
      </c>
      <c r="F16" s="78">
        <v>767228</v>
      </c>
      <c r="G16" s="78">
        <v>537776</v>
      </c>
      <c r="H16" s="69">
        <v>941565</v>
      </c>
      <c r="I16" s="18">
        <v>1213709</v>
      </c>
      <c r="J16" s="18">
        <v>1246495</v>
      </c>
      <c r="K16" s="18">
        <v>1471644</v>
      </c>
    </row>
    <row r="17" spans="1:13" s="70" customFormat="1" ht="15" customHeight="1" x14ac:dyDescent="0.15">
      <c r="A17" s="65"/>
      <c r="B17" s="66" t="s">
        <v>8</v>
      </c>
      <c r="C17" s="79" t="s">
        <v>12</v>
      </c>
      <c r="D17" s="79" t="s">
        <v>12</v>
      </c>
      <c r="E17" s="79">
        <v>0</v>
      </c>
      <c r="F17" s="79">
        <v>0</v>
      </c>
      <c r="G17" s="79">
        <v>0</v>
      </c>
      <c r="H17" s="70">
        <v>0</v>
      </c>
      <c r="I17" s="2">
        <v>0</v>
      </c>
      <c r="J17" s="2">
        <v>0</v>
      </c>
      <c r="K17" s="19">
        <v>0</v>
      </c>
    </row>
    <row r="18" spans="1:13" ht="15" customHeight="1" x14ac:dyDescent="0.2">
      <c r="B18" s="77" t="s">
        <v>81</v>
      </c>
      <c r="C18" s="79" t="s">
        <v>12</v>
      </c>
      <c r="D18" s="79" t="s">
        <v>12</v>
      </c>
      <c r="E18" s="79">
        <v>0</v>
      </c>
      <c r="F18" s="79">
        <v>0</v>
      </c>
      <c r="G18" s="71">
        <v>0</v>
      </c>
      <c r="H18" s="71">
        <v>0</v>
      </c>
      <c r="I18" s="6">
        <v>0</v>
      </c>
      <c r="J18" s="2">
        <v>0</v>
      </c>
      <c r="K18" s="19">
        <v>0</v>
      </c>
    </row>
    <row r="19" spans="1:13" ht="15" customHeight="1" x14ac:dyDescent="0.2">
      <c r="B19" s="77" t="s">
        <v>78</v>
      </c>
      <c r="C19" s="79" t="s">
        <v>12</v>
      </c>
      <c r="D19" s="79" t="s">
        <v>12</v>
      </c>
      <c r="E19" s="79">
        <v>0</v>
      </c>
      <c r="F19" s="79">
        <v>0</v>
      </c>
      <c r="G19" s="71">
        <v>0</v>
      </c>
      <c r="H19" s="71">
        <v>0</v>
      </c>
      <c r="I19" s="6">
        <v>0</v>
      </c>
      <c r="J19" s="2">
        <v>0</v>
      </c>
      <c r="K19" s="19">
        <v>0</v>
      </c>
    </row>
    <row r="20" spans="1:13" ht="12.95" customHeight="1" x14ac:dyDescent="0.2">
      <c r="B20" s="73"/>
      <c r="C20" s="80"/>
      <c r="D20" s="80"/>
      <c r="E20" s="80"/>
      <c r="F20" s="81"/>
      <c r="G20" s="82"/>
      <c r="H20" s="70"/>
      <c r="K20" s="4"/>
    </row>
    <row r="21" spans="1:13" s="56" customFormat="1" ht="15.95" customHeight="1" x14ac:dyDescent="0.15">
      <c r="A21" s="54">
        <v>2</v>
      </c>
      <c r="B21" s="59" t="s">
        <v>13</v>
      </c>
      <c r="C21" s="60">
        <f>C22+C31</f>
        <v>1743054</v>
      </c>
      <c r="D21" s="60">
        <f>D22+D31</f>
        <v>1715110</v>
      </c>
      <c r="E21" s="60">
        <f>E22+E31</f>
        <v>1406247</v>
      </c>
      <c r="F21" s="60">
        <f>F22+F31</f>
        <v>1088621</v>
      </c>
      <c r="G21" s="60">
        <v>1055536</v>
      </c>
      <c r="H21" s="60">
        <v>1237054</v>
      </c>
      <c r="I21" s="22">
        <v>1082749</v>
      </c>
      <c r="J21" s="22">
        <v>1560400</v>
      </c>
      <c r="K21" s="22">
        <f>K22+K31</f>
        <v>2571499</v>
      </c>
    </row>
    <row r="22" spans="1:13" s="84" customFormat="1" ht="15.95" customHeight="1" x14ac:dyDescent="0.2">
      <c r="A22" s="83"/>
      <c r="B22" s="63" t="s">
        <v>5</v>
      </c>
      <c r="C22" s="60">
        <v>39446</v>
      </c>
      <c r="D22" s="60">
        <f>SUM(D23:D28)</f>
        <v>39246</v>
      </c>
      <c r="E22" s="60">
        <v>47303</v>
      </c>
      <c r="F22" s="64">
        <v>35316</v>
      </c>
      <c r="G22" s="64">
        <v>34045</v>
      </c>
      <c r="H22" s="64">
        <v>27873</v>
      </c>
      <c r="I22" s="16">
        <v>25961</v>
      </c>
      <c r="J22" s="16">
        <v>24492</v>
      </c>
      <c r="K22" s="16">
        <f t="shared" ref="K22" si="1">SUM(K23:K29)</f>
        <v>13153</v>
      </c>
    </row>
    <row r="23" spans="1:13" s="70" customFormat="1" ht="15" customHeight="1" x14ac:dyDescent="0.15">
      <c r="A23" s="65"/>
      <c r="B23" s="70" t="s">
        <v>14</v>
      </c>
      <c r="C23" s="85">
        <v>14000</v>
      </c>
      <c r="D23" s="86">
        <v>12667</v>
      </c>
      <c r="E23" s="78">
        <v>11333</v>
      </c>
      <c r="F23" s="78">
        <v>10000</v>
      </c>
      <c r="G23" s="78">
        <v>9640</v>
      </c>
      <c r="H23" s="69">
        <v>9961</v>
      </c>
      <c r="I23" s="18">
        <v>10630</v>
      </c>
      <c r="J23" s="18">
        <v>9192</v>
      </c>
      <c r="K23" s="18">
        <v>13153</v>
      </c>
    </row>
    <row r="24" spans="1:13" s="70" customFormat="1" ht="15" customHeight="1" x14ac:dyDescent="0.15">
      <c r="A24" s="65"/>
      <c r="B24" s="70" t="s">
        <v>15</v>
      </c>
      <c r="C24" s="85">
        <v>10300</v>
      </c>
      <c r="D24" s="86">
        <v>10300</v>
      </c>
      <c r="E24" s="78">
        <v>10063</v>
      </c>
      <c r="F24" s="78">
        <v>15300</v>
      </c>
      <c r="G24" s="78">
        <v>14639</v>
      </c>
      <c r="H24" s="69">
        <v>15000</v>
      </c>
      <c r="I24" s="18">
        <v>15331</v>
      </c>
      <c r="J24" s="19">
        <v>15300</v>
      </c>
      <c r="K24" s="19">
        <v>0</v>
      </c>
    </row>
    <row r="25" spans="1:13" s="70" customFormat="1" ht="15" customHeight="1" x14ac:dyDescent="0.15">
      <c r="A25" s="65"/>
      <c r="B25" s="70" t="s">
        <v>16</v>
      </c>
      <c r="C25" s="71">
        <v>0</v>
      </c>
      <c r="D25" s="86">
        <v>0</v>
      </c>
      <c r="E25" s="78">
        <v>1634</v>
      </c>
      <c r="F25" s="78">
        <v>1343</v>
      </c>
      <c r="G25" s="78">
        <v>1141</v>
      </c>
      <c r="H25" s="69">
        <v>1001</v>
      </c>
      <c r="I25" s="2">
        <v>0</v>
      </c>
      <c r="J25" s="19">
        <v>0</v>
      </c>
      <c r="K25" s="19">
        <v>0</v>
      </c>
    </row>
    <row r="26" spans="1:13" s="70" customFormat="1" ht="15" customHeight="1" x14ac:dyDescent="0.15">
      <c r="A26" s="65"/>
      <c r="B26" s="66" t="s">
        <v>6</v>
      </c>
      <c r="C26" s="71">
        <v>0</v>
      </c>
      <c r="D26" s="86">
        <v>0</v>
      </c>
      <c r="E26" s="86">
        <v>0</v>
      </c>
      <c r="F26" s="86">
        <v>0</v>
      </c>
      <c r="G26" s="86">
        <v>0</v>
      </c>
      <c r="H26" s="70">
        <v>0</v>
      </c>
      <c r="I26" s="2">
        <v>0</v>
      </c>
      <c r="J26" s="19">
        <v>0</v>
      </c>
      <c r="K26" s="19">
        <v>0</v>
      </c>
    </row>
    <row r="27" spans="1:13" s="70" customFormat="1" ht="15" customHeight="1" x14ac:dyDescent="0.15">
      <c r="A27" s="65"/>
      <c r="B27" s="70" t="s">
        <v>17</v>
      </c>
      <c r="C27" s="71">
        <v>0</v>
      </c>
      <c r="D27" s="87">
        <v>0</v>
      </c>
      <c r="E27" s="87">
        <v>0</v>
      </c>
      <c r="F27" s="86">
        <v>0</v>
      </c>
      <c r="G27" s="86">
        <v>0</v>
      </c>
      <c r="H27" s="70">
        <v>0</v>
      </c>
      <c r="I27" s="2">
        <v>0</v>
      </c>
      <c r="J27" s="19">
        <v>0</v>
      </c>
      <c r="K27" s="19">
        <v>0</v>
      </c>
    </row>
    <row r="28" spans="1:13" s="70" customFormat="1" ht="15" customHeight="1" x14ac:dyDescent="0.15">
      <c r="A28" s="65"/>
      <c r="B28" s="66" t="s">
        <v>8</v>
      </c>
      <c r="C28" s="68">
        <v>15146</v>
      </c>
      <c r="D28" s="87">
        <v>16279</v>
      </c>
      <c r="E28" s="78">
        <v>24273</v>
      </c>
      <c r="F28" s="78">
        <v>8673</v>
      </c>
      <c r="G28" s="78">
        <v>8625</v>
      </c>
      <c r="H28" s="69">
        <v>1911</v>
      </c>
      <c r="I28" s="2">
        <v>0</v>
      </c>
      <c r="J28" s="19">
        <v>0</v>
      </c>
      <c r="K28" s="19">
        <v>0</v>
      </c>
    </row>
    <row r="29" spans="1:13" s="70" customFormat="1" ht="15" customHeight="1" x14ac:dyDescent="0.15">
      <c r="A29" s="65"/>
      <c r="B29" s="66" t="s">
        <v>18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2">
        <v>0</v>
      </c>
      <c r="J29" s="19">
        <v>0</v>
      </c>
      <c r="K29" s="19">
        <v>0</v>
      </c>
    </row>
    <row r="30" spans="1:13" s="56" customFormat="1" ht="12.95" customHeight="1" x14ac:dyDescent="0.15">
      <c r="A30" s="54"/>
      <c r="B30" s="88"/>
      <c r="C30" s="76"/>
      <c r="D30" s="89"/>
      <c r="E30" s="90"/>
      <c r="F30" s="78"/>
      <c r="G30" s="78"/>
      <c r="I30" s="10"/>
      <c r="J30" s="10"/>
      <c r="K30" s="10"/>
    </row>
    <row r="31" spans="1:13" ht="15.95" customHeight="1" x14ac:dyDescent="0.2">
      <c r="B31" s="63" t="s">
        <v>9</v>
      </c>
      <c r="C31" s="60">
        <v>1703608</v>
      </c>
      <c r="D31" s="60">
        <v>1675864</v>
      </c>
      <c r="E31" s="60">
        <v>1358944</v>
      </c>
      <c r="F31" s="64">
        <v>1053305</v>
      </c>
      <c r="G31" s="64">
        <v>1021491</v>
      </c>
      <c r="H31" s="64">
        <v>1209181</v>
      </c>
      <c r="I31" s="16">
        <v>1056788</v>
      </c>
      <c r="J31" s="16">
        <v>1535908</v>
      </c>
      <c r="K31" s="16">
        <v>2558346</v>
      </c>
      <c r="L31" s="91"/>
      <c r="M31" s="91"/>
    </row>
    <row r="32" spans="1:13" s="70" customFormat="1" ht="15" customHeight="1" x14ac:dyDescent="0.15">
      <c r="A32" s="65"/>
      <c r="B32" s="77" t="s">
        <v>10</v>
      </c>
      <c r="C32" s="78" t="s">
        <v>12</v>
      </c>
      <c r="D32" s="78" t="s">
        <v>12</v>
      </c>
      <c r="E32" s="78" t="s">
        <v>12</v>
      </c>
      <c r="F32" s="78" t="s">
        <v>12</v>
      </c>
      <c r="G32" s="70">
        <v>0</v>
      </c>
      <c r="H32" s="78">
        <v>90000</v>
      </c>
      <c r="I32" s="2">
        <v>0</v>
      </c>
      <c r="J32" s="2">
        <v>0</v>
      </c>
      <c r="K32" s="26">
        <v>288329</v>
      </c>
    </row>
    <row r="33" spans="1:11" s="70" customFormat="1" ht="15" customHeight="1" x14ac:dyDescent="0.15">
      <c r="A33" s="65"/>
      <c r="B33" s="66" t="s">
        <v>11</v>
      </c>
      <c r="C33" s="78" t="s">
        <v>12</v>
      </c>
      <c r="D33" s="78" t="s">
        <v>12</v>
      </c>
      <c r="E33" s="78" t="s">
        <v>12</v>
      </c>
      <c r="F33" s="78" t="s">
        <v>12</v>
      </c>
      <c r="G33" s="78">
        <v>309018</v>
      </c>
      <c r="H33" s="78">
        <v>351965</v>
      </c>
      <c r="I33" s="18">
        <v>315027</v>
      </c>
      <c r="J33" s="18">
        <v>392332</v>
      </c>
      <c r="K33" s="18">
        <v>586604</v>
      </c>
    </row>
    <row r="34" spans="1:11" s="70" customFormat="1" ht="15" customHeight="1" x14ac:dyDescent="0.15">
      <c r="A34" s="65"/>
      <c r="B34" s="66" t="s">
        <v>8</v>
      </c>
      <c r="C34" s="78" t="s">
        <v>12</v>
      </c>
      <c r="D34" s="78" t="s">
        <v>12</v>
      </c>
      <c r="E34" s="78" t="s">
        <v>12</v>
      </c>
      <c r="F34" s="78" t="s">
        <v>12</v>
      </c>
      <c r="G34" s="78">
        <v>334136</v>
      </c>
      <c r="H34" s="78">
        <v>100536</v>
      </c>
      <c r="I34" s="18">
        <v>145668</v>
      </c>
      <c r="J34" s="18">
        <v>99251</v>
      </c>
      <c r="K34" s="18">
        <v>64666</v>
      </c>
    </row>
    <row r="35" spans="1:11" s="70" customFormat="1" ht="15" customHeight="1" x14ac:dyDescent="0.15">
      <c r="A35" s="65"/>
      <c r="B35" s="66" t="s">
        <v>77</v>
      </c>
      <c r="C35" s="79" t="s">
        <v>12</v>
      </c>
      <c r="D35" s="79" t="s">
        <v>12</v>
      </c>
      <c r="E35" s="79" t="s">
        <v>12</v>
      </c>
      <c r="F35" s="79" t="s">
        <v>12</v>
      </c>
      <c r="G35" s="70">
        <v>0</v>
      </c>
      <c r="H35" s="78">
        <v>37066</v>
      </c>
      <c r="I35" s="92">
        <v>75003</v>
      </c>
      <c r="J35" s="18">
        <v>96163</v>
      </c>
      <c r="K35" s="18">
        <v>126636</v>
      </c>
    </row>
    <row r="36" spans="1:11" s="70" customFormat="1" ht="15" customHeight="1" x14ac:dyDescent="0.15">
      <c r="A36" s="65"/>
      <c r="B36" s="17" t="s">
        <v>82</v>
      </c>
      <c r="C36" s="79" t="s">
        <v>12</v>
      </c>
      <c r="D36" s="79" t="s">
        <v>12</v>
      </c>
      <c r="E36" s="79" t="s">
        <v>12</v>
      </c>
      <c r="F36" s="79" t="s">
        <v>12</v>
      </c>
      <c r="G36" s="78">
        <v>378337</v>
      </c>
      <c r="H36" s="78">
        <v>629614</v>
      </c>
      <c r="I36" s="92">
        <v>521090</v>
      </c>
      <c r="J36" s="18">
        <v>948162</v>
      </c>
      <c r="K36" s="18">
        <v>1492111</v>
      </c>
    </row>
    <row r="37" spans="1:11" ht="12.95" customHeight="1" x14ac:dyDescent="0.2">
      <c r="B37" s="93"/>
      <c r="C37" s="94"/>
      <c r="D37" s="80"/>
      <c r="E37" s="80"/>
      <c r="F37" s="80"/>
      <c r="K37" s="4"/>
    </row>
    <row r="38" spans="1:11" s="56" customFormat="1" ht="15.95" customHeight="1" x14ac:dyDescent="0.15">
      <c r="A38" s="54">
        <v>3</v>
      </c>
      <c r="B38" s="59" t="s">
        <v>19</v>
      </c>
      <c r="C38" s="95" t="s">
        <v>12</v>
      </c>
      <c r="D38" s="95" t="s">
        <v>12</v>
      </c>
      <c r="E38" s="95" t="s">
        <v>12</v>
      </c>
      <c r="F38" s="60">
        <v>82143</v>
      </c>
      <c r="G38" s="60">
        <v>106389</v>
      </c>
      <c r="H38" s="60">
        <v>101597</v>
      </c>
      <c r="I38" s="22">
        <v>104821</v>
      </c>
      <c r="J38" s="22">
        <v>88782</v>
      </c>
      <c r="K38" s="22">
        <f t="shared" ref="K38" si="2">K39+K46</f>
        <v>83721</v>
      </c>
    </row>
    <row r="39" spans="1:11" s="56" customFormat="1" ht="15.95" customHeight="1" x14ac:dyDescent="0.15">
      <c r="A39" s="54"/>
      <c r="B39" s="63" t="s">
        <v>5</v>
      </c>
      <c r="C39" s="95" t="s">
        <v>12</v>
      </c>
      <c r="D39" s="95" t="s">
        <v>12</v>
      </c>
      <c r="E39" s="95" t="s">
        <v>12</v>
      </c>
      <c r="F39" s="64">
        <v>597</v>
      </c>
      <c r="G39" s="64">
        <v>23111</v>
      </c>
      <c r="H39" s="64">
        <v>23974</v>
      </c>
      <c r="I39" s="16">
        <v>27198</v>
      </c>
      <c r="J39" s="16">
        <v>11099</v>
      </c>
      <c r="K39" s="16">
        <f t="shared" ref="K39" si="3">SUM(K40:K44)</f>
        <v>6098</v>
      </c>
    </row>
    <row r="40" spans="1:11" s="70" customFormat="1" ht="15" customHeight="1" x14ac:dyDescent="0.15">
      <c r="A40" s="65"/>
      <c r="B40" s="70" t="s">
        <v>16</v>
      </c>
      <c r="C40" s="78" t="s">
        <v>12</v>
      </c>
      <c r="D40" s="78" t="s">
        <v>12</v>
      </c>
      <c r="E40" s="78" t="s">
        <v>12</v>
      </c>
      <c r="F40" s="70">
        <v>73</v>
      </c>
      <c r="G40" s="70">
        <v>75</v>
      </c>
      <c r="H40" s="70">
        <v>0</v>
      </c>
      <c r="I40" s="2">
        <v>0</v>
      </c>
      <c r="J40" s="19">
        <v>0</v>
      </c>
      <c r="K40" s="19">
        <v>0</v>
      </c>
    </row>
    <row r="41" spans="1:11" s="70" customFormat="1" ht="15" customHeight="1" x14ac:dyDescent="0.15">
      <c r="A41" s="65"/>
      <c r="B41" s="66" t="s">
        <v>6</v>
      </c>
      <c r="C41" s="78" t="s">
        <v>12</v>
      </c>
      <c r="D41" s="78" t="s">
        <v>12</v>
      </c>
      <c r="E41" s="78" t="s">
        <v>12</v>
      </c>
      <c r="F41" s="70">
        <v>0</v>
      </c>
      <c r="G41" s="70">
        <v>0</v>
      </c>
      <c r="H41" s="70">
        <v>0</v>
      </c>
      <c r="I41" s="2">
        <v>0</v>
      </c>
      <c r="J41" s="19">
        <v>0</v>
      </c>
      <c r="K41" s="19">
        <v>0</v>
      </c>
    </row>
    <row r="42" spans="1:11" s="70" customFormat="1" ht="15" customHeight="1" x14ac:dyDescent="0.15">
      <c r="A42" s="65"/>
      <c r="B42" s="66" t="s">
        <v>20</v>
      </c>
      <c r="C42" s="78" t="s">
        <v>12</v>
      </c>
      <c r="D42" s="78" t="s">
        <v>12</v>
      </c>
      <c r="E42" s="78" t="s">
        <v>12</v>
      </c>
      <c r="F42" s="86">
        <v>524</v>
      </c>
      <c r="G42" s="86">
        <v>13832</v>
      </c>
      <c r="H42" s="69">
        <v>13832</v>
      </c>
      <c r="I42" s="18">
        <v>13832</v>
      </c>
      <c r="J42" s="19">
        <v>0</v>
      </c>
      <c r="K42" s="19">
        <v>0</v>
      </c>
    </row>
    <row r="43" spans="1:11" s="70" customFormat="1" ht="15" customHeight="1" x14ac:dyDescent="0.15">
      <c r="A43" s="65"/>
      <c r="B43" s="66" t="s">
        <v>8</v>
      </c>
      <c r="C43" s="78" t="s">
        <v>12</v>
      </c>
      <c r="D43" s="78" t="s">
        <v>12</v>
      </c>
      <c r="E43" s="78" t="s">
        <v>12</v>
      </c>
      <c r="F43" s="78" t="s">
        <v>12</v>
      </c>
      <c r="G43" s="86">
        <v>9204</v>
      </c>
      <c r="H43" s="69">
        <v>10142</v>
      </c>
      <c r="I43" s="18">
        <v>13366</v>
      </c>
      <c r="J43" s="19">
        <v>11099</v>
      </c>
      <c r="K43" s="19">
        <v>5998</v>
      </c>
    </row>
    <row r="44" spans="1:11" s="70" customFormat="1" ht="15" customHeight="1" x14ac:dyDescent="0.15">
      <c r="A44" s="65"/>
      <c r="B44" s="66" t="s">
        <v>21</v>
      </c>
      <c r="C44" s="78" t="s">
        <v>12</v>
      </c>
      <c r="D44" s="78" t="s">
        <v>12</v>
      </c>
      <c r="E44" s="78" t="s">
        <v>12</v>
      </c>
      <c r="F44" s="78" t="s">
        <v>12</v>
      </c>
      <c r="G44" s="86">
        <v>0</v>
      </c>
      <c r="H44" s="70">
        <v>0</v>
      </c>
      <c r="I44" s="2">
        <v>0</v>
      </c>
      <c r="J44" s="19">
        <v>0</v>
      </c>
      <c r="K44" s="19">
        <v>100</v>
      </c>
    </row>
    <row r="45" spans="1:11" s="70" customFormat="1" ht="15" customHeight="1" x14ac:dyDescent="0.15">
      <c r="A45" s="65"/>
      <c r="B45" s="66"/>
      <c r="C45" s="78"/>
      <c r="D45" s="78"/>
      <c r="E45" s="78"/>
      <c r="F45" s="78"/>
      <c r="G45" s="86"/>
      <c r="I45" s="10"/>
      <c r="J45" s="10"/>
      <c r="K45" s="10"/>
    </row>
    <row r="46" spans="1:11" s="56" customFormat="1" ht="18" customHeight="1" x14ac:dyDescent="0.15">
      <c r="A46" s="54"/>
      <c r="B46" s="63" t="s">
        <v>9</v>
      </c>
      <c r="C46" s="95" t="s">
        <v>12</v>
      </c>
      <c r="D46" s="95" t="s">
        <v>12</v>
      </c>
      <c r="E46" s="95" t="s">
        <v>12</v>
      </c>
      <c r="F46" s="64">
        <v>81546</v>
      </c>
      <c r="G46" s="64">
        <v>83278</v>
      </c>
      <c r="H46" s="64">
        <v>77623</v>
      </c>
      <c r="I46" s="16">
        <v>77623</v>
      </c>
      <c r="J46" s="16">
        <f>SUM(J47:J51)</f>
        <v>77683</v>
      </c>
      <c r="K46" s="16">
        <f t="shared" ref="K46" si="4">SUM(K47:K51)</f>
        <v>77623</v>
      </c>
    </row>
    <row r="47" spans="1:11" s="70" customFormat="1" ht="15" customHeight="1" x14ac:dyDescent="0.15">
      <c r="A47" s="65"/>
      <c r="B47" s="77" t="s">
        <v>10</v>
      </c>
      <c r="C47" s="78" t="s">
        <v>12</v>
      </c>
      <c r="D47" s="78" t="s">
        <v>12</v>
      </c>
      <c r="E47" s="78" t="s">
        <v>12</v>
      </c>
      <c r="F47" s="86">
        <v>78204</v>
      </c>
      <c r="G47" s="86">
        <v>77654</v>
      </c>
      <c r="H47" s="69">
        <v>77623</v>
      </c>
      <c r="I47" s="18">
        <v>77623</v>
      </c>
      <c r="J47" s="19">
        <v>77623</v>
      </c>
      <c r="K47" s="19">
        <v>77623</v>
      </c>
    </row>
    <row r="48" spans="1:11" s="70" customFormat="1" ht="15" customHeight="1" x14ac:dyDescent="0.15">
      <c r="A48" s="65"/>
      <c r="B48" s="66" t="s">
        <v>11</v>
      </c>
      <c r="C48" s="78" t="s">
        <v>12</v>
      </c>
      <c r="D48" s="78" t="s">
        <v>12</v>
      </c>
      <c r="E48" s="78" t="s">
        <v>12</v>
      </c>
      <c r="F48" s="86">
        <v>0</v>
      </c>
      <c r="G48" s="86">
        <v>0</v>
      </c>
      <c r="H48" s="70">
        <v>0</v>
      </c>
      <c r="I48" s="2">
        <v>0</v>
      </c>
      <c r="J48" s="19">
        <v>0</v>
      </c>
      <c r="K48" s="19">
        <v>0</v>
      </c>
    </row>
    <row r="49" spans="1:53" s="70" customFormat="1" ht="15" customHeight="1" x14ac:dyDescent="0.15">
      <c r="A49" s="65"/>
      <c r="B49" s="66" t="s">
        <v>8</v>
      </c>
      <c r="C49" s="78" t="s">
        <v>12</v>
      </c>
      <c r="D49" s="78" t="s">
        <v>12</v>
      </c>
      <c r="E49" s="78" t="s">
        <v>12</v>
      </c>
      <c r="F49" s="96">
        <v>3342</v>
      </c>
      <c r="G49" s="78">
        <v>5624</v>
      </c>
      <c r="H49" s="97">
        <v>0</v>
      </c>
      <c r="I49" s="2">
        <v>0</v>
      </c>
      <c r="J49" s="19">
        <v>60</v>
      </c>
      <c r="K49" s="19">
        <v>0</v>
      </c>
    </row>
    <row r="50" spans="1:53" s="70" customFormat="1" ht="15" customHeight="1" x14ac:dyDescent="0.15">
      <c r="A50" s="65"/>
      <c r="B50" s="66" t="s">
        <v>77</v>
      </c>
      <c r="C50" s="79" t="s">
        <v>12</v>
      </c>
      <c r="D50" s="79" t="s">
        <v>12</v>
      </c>
      <c r="E50" s="79" t="s">
        <v>12</v>
      </c>
      <c r="F50" s="79" t="s">
        <v>12</v>
      </c>
      <c r="G50" s="79">
        <v>0</v>
      </c>
      <c r="H50" s="97">
        <v>0</v>
      </c>
      <c r="I50" s="2">
        <v>0</v>
      </c>
      <c r="J50" s="19">
        <v>0</v>
      </c>
      <c r="K50" s="19">
        <v>0</v>
      </c>
    </row>
    <row r="51" spans="1:53" s="70" customFormat="1" ht="15" customHeight="1" x14ac:dyDescent="0.15">
      <c r="A51" s="65"/>
      <c r="B51" s="66" t="s">
        <v>79</v>
      </c>
      <c r="C51" s="79" t="s">
        <v>12</v>
      </c>
      <c r="D51" s="79" t="s">
        <v>12</v>
      </c>
      <c r="E51" s="79" t="s">
        <v>12</v>
      </c>
      <c r="F51" s="79" t="s">
        <v>12</v>
      </c>
      <c r="G51" s="79">
        <v>0</v>
      </c>
      <c r="H51" s="97">
        <v>0</v>
      </c>
      <c r="I51" s="2">
        <v>0</v>
      </c>
      <c r="J51" s="19">
        <v>0</v>
      </c>
      <c r="K51" s="19">
        <v>0</v>
      </c>
    </row>
    <row r="52" spans="1:53" s="88" customFormat="1" ht="12" customHeight="1" x14ac:dyDescent="0.15">
      <c r="A52" s="98"/>
      <c r="B52" s="99"/>
      <c r="C52" s="78"/>
      <c r="D52" s="78"/>
      <c r="E52" s="78"/>
      <c r="F52" s="86"/>
      <c r="G52" s="86"/>
      <c r="H52" s="70"/>
      <c r="I52" s="2"/>
      <c r="J52" s="2"/>
      <c r="K52" s="2"/>
    </row>
    <row r="53" spans="1:53" s="56" customFormat="1" ht="15" customHeight="1" x14ac:dyDescent="0.15">
      <c r="A53" s="54">
        <v>4</v>
      </c>
      <c r="B53" s="59" t="s">
        <v>22</v>
      </c>
      <c r="C53" s="60">
        <f>C54+C78</f>
        <v>4409283</v>
      </c>
      <c r="D53" s="60">
        <v>5178313</v>
      </c>
      <c r="E53" s="60">
        <f>E54+E78</f>
        <v>5248352</v>
      </c>
      <c r="F53" s="60">
        <f>F54+F78</f>
        <v>5346919</v>
      </c>
      <c r="G53" s="60">
        <v>5548393</v>
      </c>
      <c r="H53" s="60">
        <v>5189320</v>
      </c>
      <c r="I53" s="22">
        <f>I54+I78</f>
        <v>4606470</v>
      </c>
      <c r="J53" s="22">
        <f>J54+J78</f>
        <v>4642123</v>
      </c>
      <c r="K53" s="22">
        <v>7113816</v>
      </c>
    </row>
    <row r="54" spans="1:53" ht="15" customHeight="1" x14ac:dyDescent="0.2">
      <c r="B54" s="63" t="s">
        <v>5</v>
      </c>
      <c r="C54" s="60">
        <f>C55+C56+C57+C61+C72</f>
        <v>2708426</v>
      </c>
      <c r="D54" s="60">
        <v>3315759</v>
      </c>
      <c r="E54" s="60">
        <v>3404185</v>
      </c>
      <c r="F54" s="64">
        <v>3609766</v>
      </c>
      <c r="G54" s="64">
        <v>3727787</v>
      </c>
      <c r="H54" s="64">
        <v>3660693</v>
      </c>
      <c r="I54" s="16">
        <f>I55+I56+I57+I61+I72</f>
        <v>3569627</v>
      </c>
      <c r="J54" s="16">
        <f>J55+J56+J57+J61+J72</f>
        <v>3565497</v>
      </c>
      <c r="K54" s="16">
        <v>3577462</v>
      </c>
    </row>
    <row r="55" spans="1:53" s="70" customFormat="1" ht="12.75" customHeight="1" x14ac:dyDescent="0.15">
      <c r="A55" s="65"/>
      <c r="B55" s="100" t="s">
        <v>14</v>
      </c>
      <c r="C55" s="85">
        <v>141886</v>
      </c>
      <c r="D55" s="85">
        <v>316736</v>
      </c>
      <c r="E55" s="85">
        <v>206566</v>
      </c>
      <c r="F55" s="85">
        <v>262843</v>
      </c>
      <c r="G55" s="85">
        <v>352402</v>
      </c>
      <c r="H55" s="69">
        <v>333981</v>
      </c>
      <c r="I55" s="18">
        <f>515936-160193-40511</f>
        <v>315232</v>
      </c>
      <c r="J55" s="18">
        <f>476213-183876</f>
        <v>292337</v>
      </c>
      <c r="K55" s="18">
        <v>271770</v>
      </c>
    </row>
    <row r="56" spans="1:53" s="70" customFormat="1" ht="15" customHeight="1" x14ac:dyDescent="0.15">
      <c r="A56" s="65"/>
      <c r="B56" s="100" t="s">
        <v>23</v>
      </c>
      <c r="C56" s="85">
        <v>86319</v>
      </c>
      <c r="D56" s="85">
        <v>74032</v>
      </c>
      <c r="E56" s="85">
        <v>79847</v>
      </c>
      <c r="F56" s="85">
        <v>71795</v>
      </c>
      <c r="G56" s="85">
        <v>106284</v>
      </c>
      <c r="H56" s="69">
        <v>96475</v>
      </c>
      <c r="I56" s="18">
        <v>90268</v>
      </c>
      <c r="J56" s="18">
        <v>84161</v>
      </c>
      <c r="K56" s="18">
        <v>84044</v>
      </c>
    </row>
    <row r="57" spans="1:53" s="70" customFormat="1" ht="15" customHeight="1" x14ac:dyDescent="0.15">
      <c r="A57" s="65"/>
      <c r="B57" s="100" t="s">
        <v>24</v>
      </c>
      <c r="C57" s="85">
        <v>898563</v>
      </c>
      <c r="D57" s="85">
        <v>1094794</v>
      </c>
      <c r="E57" s="85">
        <v>1114350</v>
      </c>
      <c r="F57" s="85">
        <v>1148007</v>
      </c>
      <c r="G57" s="85">
        <v>1153307</v>
      </c>
      <c r="H57" s="69">
        <v>956358</v>
      </c>
      <c r="I57" s="18">
        <v>968457</v>
      </c>
      <c r="J57" s="18">
        <f>SUM(J58:J60)</f>
        <v>860023</v>
      </c>
      <c r="K57" s="18">
        <f t="shared" ref="K57" si="5">SUM(K58:K60)</f>
        <v>858010</v>
      </c>
    </row>
    <row r="58" spans="1:53" s="102" customFormat="1" ht="12.95" customHeight="1" x14ac:dyDescent="0.15">
      <c r="A58" s="101"/>
      <c r="B58" s="33" t="s">
        <v>25</v>
      </c>
      <c r="C58" s="34">
        <v>201004</v>
      </c>
      <c r="D58" s="34">
        <v>110989</v>
      </c>
      <c r="E58" s="34">
        <v>154664</v>
      </c>
      <c r="F58" s="34">
        <v>350253</v>
      </c>
      <c r="G58" s="34">
        <v>492552</v>
      </c>
      <c r="H58" s="34">
        <v>388943</v>
      </c>
      <c r="I58" s="34">
        <v>361522</v>
      </c>
      <c r="J58" s="34">
        <v>203007</v>
      </c>
      <c r="K58" s="34">
        <v>198595</v>
      </c>
    </row>
    <row r="59" spans="1:53" s="102" customFormat="1" ht="12.95" customHeight="1" x14ac:dyDescent="0.15">
      <c r="A59" s="101"/>
      <c r="B59" s="33" t="s">
        <v>26</v>
      </c>
      <c r="C59" s="34">
        <v>235895</v>
      </c>
      <c r="D59" s="34">
        <v>255157</v>
      </c>
      <c r="E59" s="34">
        <v>336929</v>
      </c>
      <c r="F59" s="34">
        <v>253011</v>
      </c>
      <c r="G59" s="34">
        <v>200466</v>
      </c>
      <c r="H59" s="34">
        <v>155229</v>
      </c>
      <c r="I59" s="34">
        <v>114627</v>
      </c>
      <c r="J59" s="34">
        <v>98507</v>
      </c>
      <c r="K59" s="34">
        <v>78724</v>
      </c>
    </row>
    <row r="60" spans="1:53" s="102" customFormat="1" ht="12.95" customHeight="1" x14ac:dyDescent="0.15">
      <c r="A60" s="101"/>
      <c r="B60" s="33" t="s">
        <v>27</v>
      </c>
      <c r="C60" s="34">
        <v>461664</v>
      </c>
      <c r="D60" s="34">
        <v>728648</v>
      </c>
      <c r="E60" s="34">
        <v>622857</v>
      </c>
      <c r="F60" s="34">
        <v>544743</v>
      </c>
      <c r="G60" s="34">
        <v>460289</v>
      </c>
      <c r="H60" s="34">
        <v>412186</v>
      </c>
      <c r="I60" s="34">
        <v>492308</v>
      </c>
      <c r="J60" s="34">
        <v>558509</v>
      </c>
      <c r="K60" s="34">
        <f>570691+10000</f>
        <v>580691</v>
      </c>
    </row>
    <row r="61" spans="1:53" s="70" customFormat="1" ht="15" customHeight="1" x14ac:dyDescent="0.15">
      <c r="A61" s="65"/>
      <c r="B61" s="100" t="s">
        <v>28</v>
      </c>
      <c r="C61" s="85">
        <f t="shared" ref="C61:H61" si="6">C62+C66</f>
        <v>47938</v>
      </c>
      <c r="D61" s="85">
        <f t="shared" si="6"/>
        <v>48489</v>
      </c>
      <c r="E61" s="85">
        <f t="shared" si="6"/>
        <v>51140</v>
      </c>
      <c r="F61" s="85">
        <f t="shared" si="6"/>
        <v>111442</v>
      </c>
      <c r="G61" s="85">
        <f t="shared" si="6"/>
        <v>56100</v>
      </c>
      <c r="H61" s="85">
        <f t="shared" si="6"/>
        <v>49343</v>
      </c>
      <c r="I61" s="35">
        <f>+I62+I66</f>
        <v>38195</v>
      </c>
      <c r="J61" s="35">
        <f>+J62+J66</f>
        <v>123479</v>
      </c>
      <c r="K61" s="35">
        <f t="shared" ref="K61" si="7">+K62+K66</f>
        <v>134691</v>
      </c>
    </row>
    <row r="62" spans="1:53" s="29" customFormat="1" ht="15" customHeight="1" x14ac:dyDescent="0.15">
      <c r="A62" s="101"/>
      <c r="B62" s="103" t="s">
        <v>75</v>
      </c>
      <c r="C62" s="104">
        <f t="shared" ref="C62:H62" si="8">SUM(C63:C65)</f>
        <v>0</v>
      </c>
      <c r="D62" s="104">
        <f t="shared" si="8"/>
        <v>0</v>
      </c>
      <c r="E62" s="104">
        <f t="shared" si="8"/>
        <v>0</v>
      </c>
      <c r="F62" s="104">
        <f t="shared" si="8"/>
        <v>0</v>
      </c>
      <c r="G62" s="104">
        <f t="shared" si="8"/>
        <v>0</v>
      </c>
      <c r="H62" s="104">
        <f t="shared" si="8"/>
        <v>0</v>
      </c>
      <c r="I62" s="37">
        <f>+I63+I64+I65</f>
        <v>0</v>
      </c>
      <c r="J62" s="37">
        <f>+J63+J64+J65</f>
        <v>0</v>
      </c>
      <c r="K62" s="37">
        <f t="shared" ref="K62" si="9">+K63+K64+K65</f>
        <v>0</v>
      </c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</row>
    <row r="63" spans="1:53" s="102" customFormat="1" ht="12.95" customHeight="1" x14ac:dyDescent="0.15">
      <c r="A63" s="101"/>
      <c r="B63" s="33" t="s">
        <v>29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</row>
    <row r="64" spans="1:53" s="102" customFormat="1" ht="12.95" customHeight="1" x14ac:dyDescent="0.15">
      <c r="A64" s="101"/>
      <c r="B64" s="33" t="s">
        <v>30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</row>
    <row r="65" spans="1:53" s="102" customFormat="1" ht="12.95" customHeight="1" x14ac:dyDescent="0.15">
      <c r="A65" s="101"/>
      <c r="B65" s="33" t="s">
        <v>31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</row>
    <row r="66" spans="1:53" s="29" customFormat="1" ht="15" customHeight="1" x14ac:dyDescent="0.15">
      <c r="A66" s="28"/>
      <c r="B66" s="103" t="s">
        <v>76</v>
      </c>
      <c r="C66" s="104">
        <f t="shared" ref="C66:H66" si="10">SUM(C67:C71)</f>
        <v>47938</v>
      </c>
      <c r="D66" s="104">
        <f t="shared" si="10"/>
        <v>48489</v>
      </c>
      <c r="E66" s="104">
        <f t="shared" si="10"/>
        <v>51140</v>
      </c>
      <c r="F66" s="104">
        <f t="shared" si="10"/>
        <v>111442</v>
      </c>
      <c r="G66" s="104">
        <f t="shared" si="10"/>
        <v>56100</v>
      </c>
      <c r="H66" s="104">
        <f t="shared" si="10"/>
        <v>49343</v>
      </c>
      <c r="I66" s="37">
        <f>SUM(I67:I71)</f>
        <v>38195</v>
      </c>
      <c r="J66" s="37">
        <f>SUM(J67:J71)</f>
        <v>123479</v>
      </c>
      <c r="K66" s="37">
        <f t="shared" ref="K66" si="11">SUM(K67:K71)</f>
        <v>134691</v>
      </c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</row>
    <row r="67" spans="1:53" s="106" customFormat="1" ht="12.95" customHeight="1" x14ac:dyDescent="0.15">
      <c r="A67" s="105"/>
      <c r="B67" s="33" t="s">
        <v>32</v>
      </c>
      <c r="C67" s="34">
        <v>2462</v>
      </c>
      <c r="D67" s="34">
        <v>2144</v>
      </c>
      <c r="E67" s="34">
        <v>0</v>
      </c>
      <c r="F67" s="34">
        <v>5892</v>
      </c>
      <c r="G67" s="34">
        <v>7976</v>
      </c>
      <c r="H67" s="34">
        <v>1387</v>
      </c>
      <c r="I67" s="34">
        <v>2426</v>
      </c>
      <c r="J67" s="34">
        <v>5707</v>
      </c>
      <c r="K67" s="34">
        <v>1996</v>
      </c>
    </row>
    <row r="68" spans="1:53" s="106" customFormat="1" ht="12.95" customHeight="1" x14ac:dyDescent="0.15">
      <c r="A68" s="105"/>
      <c r="B68" s="33" t="s">
        <v>33</v>
      </c>
      <c r="C68" s="34">
        <v>1557</v>
      </c>
      <c r="D68" s="34">
        <v>3417</v>
      </c>
      <c r="E68" s="34">
        <v>5174</v>
      </c>
      <c r="F68" s="34">
        <v>9702</v>
      </c>
      <c r="G68" s="34">
        <v>252</v>
      </c>
      <c r="H68" s="34">
        <v>5457</v>
      </c>
      <c r="I68" s="34">
        <v>4883</v>
      </c>
      <c r="J68" s="34">
        <v>166</v>
      </c>
      <c r="K68" s="34">
        <v>424</v>
      </c>
    </row>
    <row r="69" spans="1:53" s="106" customFormat="1" ht="12.95" customHeight="1" x14ac:dyDescent="0.15">
      <c r="A69" s="105"/>
      <c r="B69" s="33" t="s">
        <v>34</v>
      </c>
      <c r="C69" s="34">
        <v>0</v>
      </c>
      <c r="D69" s="34">
        <v>18334</v>
      </c>
      <c r="E69" s="34">
        <v>23660</v>
      </c>
      <c r="F69" s="34">
        <v>19032</v>
      </c>
      <c r="G69" s="34">
        <v>17434</v>
      </c>
      <c r="H69" s="34">
        <v>16850</v>
      </c>
      <c r="I69" s="34">
        <v>7929</v>
      </c>
      <c r="J69" s="34">
        <v>97579</v>
      </c>
      <c r="K69" s="34">
        <v>65590</v>
      </c>
    </row>
    <row r="70" spans="1:53" s="106" customFormat="1" ht="12.95" customHeight="1" x14ac:dyDescent="0.15">
      <c r="A70" s="105"/>
      <c r="B70" s="33" t="s">
        <v>35</v>
      </c>
      <c r="C70" s="34">
        <v>43919</v>
      </c>
      <c r="D70" s="34">
        <v>24594</v>
      </c>
      <c r="E70" s="34">
        <v>22306</v>
      </c>
      <c r="F70" s="34">
        <v>76816</v>
      </c>
      <c r="G70" s="34">
        <v>9734</v>
      </c>
      <c r="H70" s="34">
        <v>3130</v>
      </c>
      <c r="I70" s="34">
        <v>1538</v>
      </c>
      <c r="J70" s="34">
        <v>4373</v>
      </c>
      <c r="K70" s="34">
        <v>57530</v>
      </c>
    </row>
    <row r="71" spans="1:53" s="106" customFormat="1" ht="12.95" customHeight="1" x14ac:dyDescent="0.15">
      <c r="A71" s="105"/>
      <c r="B71" s="33" t="s">
        <v>36</v>
      </c>
      <c r="C71" s="107" t="s">
        <v>12</v>
      </c>
      <c r="D71" s="107" t="s">
        <v>12</v>
      </c>
      <c r="E71" s="107" t="s">
        <v>12</v>
      </c>
      <c r="F71" s="107" t="s">
        <v>12</v>
      </c>
      <c r="G71" s="34">
        <v>20704</v>
      </c>
      <c r="H71" s="34">
        <v>22519</v>
      </c>
      <c r="I71" s="34">
        <v>21419</v>
      </c>
      <c r="J71" s="34">
        <v>15654</v>
      </c>
      <c r="K71" s="34">
        <v>9151</v>
      </c>
    </row>
    <row r="72" spans="1:53" s="70" customFormat="1" ht="15" customHeight="1" x14ac:dyDescent="0.15">
      <c r="A72" s="65"/>
      <c r="B72" s="100" t="s">
        <v>37</v>
      </c>
      <c r="C72" s="85">
        <f t="shared" ref="C72:H72" si="12">SUM(C73:C76)</f>
        <v>1533720</v>
      </c>
      <c r="D72" s="85">
        <f t="shared" si="12"/>
        <v>1781708</v>
      </c>
      <c r="E72" s="85">
        <f t="shared" si="12"/>
        <v>1952243</v>
      </c>
      <c r="F72" s="85">
        <f t="shared" si="12"/>
        <v>2015679</v>
      </c>
      <c r="G72" s="85">
        <f t="shared" si="12"/>
        <v>2059694</v>
      </c>
      <c r="H72" s="85">
        <f t="shared" si="12"/>
        <v>2224536</v>
      </c>
      <c r="I72" s="18">
        <v>2157475</v>
      </c>
      <c r="J72" s="18">
        <v>2205497</v>
      </c>
      <c r="K72" s="18">
        <f t="shared" ref="K72" si="13">SUM(K73:K76)</f>
        <v>2228947</v>
      </c>
    </row>
    <row r="73" spans="1:53" s="102" customFormat="1" ht="12.95" customHeight="1" x14ac:dyDescent="0.15">
      <c r="A73" s="101"/>
      <c r="B73" s="33" t="s">
        <v>38</v>
      </c>
      <c r="C73" s="107">
        <v>1308168</v>
      </c>
      <c r="D73" s="107">
        <v>1554964</v>
      </c>
      <c r="E73" s="34">
        <v>1650722</v>
      </c>
      <c r="F73" s="34">
        <v>1750259</v>
      </c>
      <c r="G73" s="34">
        <v>1784564</v>
      </c>
      <c r="H73" s="34">
        <v>1849086</v>
      </c>
      <c r="I73" s="34">
        <v>1845168</v>
      </c>
      <c r="J73" s="34">
        <v>1849710</v>
      </c>
      <c r="K73" s="34">
        <v>1864374</v>
      </c>
    </row>
    <row r="74" spans="1:53" s="102" customFormat="1" ht="12.95" customHeight="1" x14ac:dyDescent="0.15">
      <c r="A74" s="101"/>
      <c r="B74" s="33" t="s">
        <v>39</v>
      </c>
      <c r="C74" s="107">
        <v>56397</v>
      </c>
      <c r="D74" s="107">
        <v>52757</v>
      </c>
      <c r="E74" s="107">
        <v>84264</v>
      </c>
      <c r="F74" s="107">
        <v>59770</v>
      </c>
      <c r="G74" s="34">
        <v>44144</v>
      </c>
      <c r="H74" s="34">
        <v>39640</v>
      </c>
      <c r="I74" s="34">
        <v>36730</v>
      </c>
      <c r="J74" s="34">
        <v>41089</v>
      </c>
      <c r="K74" s="34">
        <v>49439</v>
      </c>
    </row>
    <row r="75" spans="1:53" s="102" customFormat="1" ht="12.95" customHeight="1" x14ac:dyDescent="0.15">
      <c r="A75" s="101"/>
      <c r="B75" s="33" t="s">
        <v>40</v>
      </c>
      <c r="C75" s="107">
        <v>5724</v>
      </c>
      <c r="D75" s="107">
        <v>1986</v>
      </c>
      <c r="E75" s="107">
        <v>3806</v>
      </c>
      <c r="F75" s="107">
        <v>5608</v>
      </c>
      <c r="G75" s="34">
        <v>5383</v>
      </c>
      <c r="H75" s="34">
        <v>5143</v>
      </c>
      <c r="I75" s="34">
        <v>6196</v>
      </c>
      <c r="J75" s="34">
        <v>6891</v>
      </c>
      <c r="K75" s="34">
        <v>7581</v>
      </c>
    </row>
    <row r="76" spans="1:53" s="102" customFormat="1" ht="12.95" customHeight="1" x14ac:dyDescent="0.15">
      <c r="A76" s="101"/>
      <c r="B76" s="33" t="s">
        <v>41</v>
      </c>
      <c r="C76" s="107">
        <f>118407+45024</f>
        <v>163431</v>
      </c>
      <c r="D76" s="107">
        <v>172001</v>
      </c>
      <c r="E76" s="107">
        <f>213199+252</f>
        <v>213451</v>
      </c>
      <c r="F76" s="107">
        <f>199518+524</f>
        <v>200042</v>
      </c>
      <c r="G76" s="34">
        <f>225377+226</f>
        <v>225603</v>
      </c>
      <c r="H76" s="34">
        <f>330578+89</f>
        <v>330667</v>
      </c>
      <c r="I76" s="34">
        <v>269381</v>
      </c>
      <c r="J76" s="34">
        <v>307807</v>
      </c>
      <c r="K76" s="34">
        <f>290384+17169</f>
        <v>307553</v>
      </c>
    </row>
    <row r="77" spans="1:53" s="70" customFormat="1" ht="15" customHeight="1" x14ac:dyDescent="0.15">
      <c r="A77" s="65"/>
      <c r="B77" s="102"/>
      <c r="C77" s="108"/>
      <c r="D77" s="108"/>
      <c r="E77" s="108"/>
      <c r="F77" s="108"/>
      <c r="G77" s="104"/>
      <c r="I77" s="2"/>
      <c r="J77" s="2"/>
      <c r="K77" s="2"/>
    </row>
    <row r="78" spans="1:53" s="111" customFormat="1" ht="15.95" customHeight="1" x14ac:dyDescent="0.2">
      <c r="A78" s="109"/>
      <c r="B78" s="63" t="s">
        <v>9</v>
      </c>
      <c r="C78" s="60">
        <v>1700857</v>
      </c>
      <c r="D78" s="60">
        <v>1862554</v>
      </c>
      <c r="E78" s="60">
        <v>1844167</v>
      </c>
      <c r="F78" s="64">
        <v>1737153</v>
      </c>
      <c r="G78" s="16">
        <v>1820606</v>
      </c>
      <c r="H78" s="110">
        <v>1528627</v>
      </c>
      <c r="I78" s="16">
        <v>1036843</v>
      </c>
      <c r="J78" s="16">
        <v>1076626</v>
      </c>
      <c r="K78" s="16">
        <v>3536354</v>
      </c>
    </row>
    <row r="79" spans="1:53" s="69" customFormat="1" ht="15" customHeight="1" x14ac:dyDescent="0.15">
      <c r="A79" s="112"/>
      <c r="B79" s="113" t="s">
        <v>10</v>
      </c>
      <c r="C79" s="78" t="s">
        <v>12</v>
      </c>
      <c r="D79" s="78" t="s">
        <v>12</v>
      </c>
      <c r="E79" s="78" t="s">
        <v>12</v>
      </c>
      <c r="F79" s="78" t="s">
        <v>12</v>
      </c>
      <c r="G79" s="69">
        <v>117</v>
      </c>
      <c r="H79" s="69">
        <v>277</v>
      </c>
      <c r="I79" s="35">
        <v>90541</v>
      </c>
      <c r="J79" s="35">
        <v>41317</v>
      </c>
      <c r="K79" s="35">
        <v>40000</v>
      </c>
    </row>
    <row r="80" spans="1:53" s="69" customFormat="1" ht="12" customHeight="1" x14ac:dyDescent="0.15">
      <c r="A80" s="112"/>
      <c r="B80" s="113" t="s">
        <v>11</v>
      </c>
      <c r="C80" s="78" t="s">
        <v>12</v>
      </c>
      <c r="D80" s="78" t="s">
        <v>12</v>
      </c>
      <c r="E80" s="78" t="s">
        <v>12</v>
      </c>
      <c r="F80" s="78" t="s">
        <v>12</v>
      </c>
      <c r="G80" s="35">
        <v>0</v>
      </c>
      <c r="H80" s="69">
        <v>49903</v>
      </c>
      <c r="I80" s="35">
        <v>51716</v>
      </c>
      <c r="J80" s="35">
        <v>0</v>
      </c>
      <c r="K80" s="35">
        <v>0</v>
      </c>
    </row>
    <row r="81" spans="1:11" s="69" customFormat="1" ht="12" customHeight="1" x14ac:dyDescent="0.15">
      <c r="A81" s="112"/>
      <c r="B81" s="113" t="s">
        <v>8</v>
      </c>
      <c r="C81" s="78" t="s">
        <v>12</v>
      </c>
      <c r="D81" s="78" t="s">
        <v>12</v>
      </c>
      <c r="E81" s="78" t="s">
        <v>12</v>
      </c>
      <c r="F81" s="78" t="s">
        <v>12</v>
      </c>
      <c r="G81" s="69">
        <v>85000</v>
      </c>
      <c r="H81" s="69">
        <v>83749</v>
      </c>
      <c r="I81" s="35">
        <v>113965</v>
      </c>
      <c r="J81" s="35">
        <v>103939</v>
      </c>
      <c r="K81" s="35">
        <v>76681</v>
      </c>
    </row>
    <row r="82" spans="1:11" s="69" customFormat="1" ht="12" customHeight="1" x14ac:dyDescent="0.15">
      <c r="A82" s="112"/>
      <c r="B82" s="113" t="s">
        <v>77</v>
      </c>
      <c r="C82" s="67" t="s">
        <v>12</v>
      </c>
      <c r="D82" s="67" t="s">
        <v>12</v>
      </c>
      <c r="E82" s="67" t="s">
        <v>12</v>
      </c>
      <c r="F82" s="67" t="s">
        <v>12</v>
      </c>
      <c r="G82" s="69">
        <v>1618297</v>
      </c>
      <c r="H82" s="69">
        <v>1246745</v>
      </c>
      <c r="I82" s="44">
        <v>626653</v>
      </c>
      <c r="J82" s="35">
        <v>771017</v>
      </c>
      <c r="K82" s="35">
        <v>2910127</v>
      </c>
    </row>
    <row r="83" spans="1:11" s="69" customFormat="1" ht="12" customHeight="1" x14ac:dyDescent="0.15">
      <c r="A83" s="112"/>
      <c r="B83" s="113" t="s">
        <v>80</v>
      </c>
      <c r="C83" s="67" t="s">
        <v>12</v>
      </c>
      <c r="D83" s="67" t="s">
        <v>12</v>
      </c>
      <c r="E83" s="67" t="s">
        <v>12</v>
      </c>
      <c r="F83" s="67" t="s">
        <v>12</v>
      </c>
      <c r="G83" s="69">
        <v>117192</v>
      </c>
      <c r="H83" s="69">
        <v>147953</v>
      </c>
      <c r="I83" s="44">
        <v>153968</v>
      </c>
      <c r="J83" s="35">
        <v>160353</v>
      </c>
      <c r="K83" s="35">
        <v>509546</v>
      </c>
    </row>
    <row r="84" spans="1:11" ht="15" customHeight="1" x14ac:dyDescent="0.2">
      <c r="B84" s="93"/>
      <c r="C84" s="80"/>
      <c r="D84" s="114"/>
      <c r="K84" s="4"/>
    </row>
    <row r="85" spans="1:11" s="56" customFormat="1" ht="15.95" customHeight="1" x14ac:dyDescent="0.15">
      <c r="A85" s="54">
        <v>5</v>
      </c>
      <c r="B85" s="59" t="s">
        <v>42</v>
      </c>
      <c r="C85" s="95">
        <v>114091</v>
      </c>
      <c r="D85" s="60">
        <v>232779</v>
      </c>
      <c r="E85" s="60">
        <v>243663</v>
      </c>
      <c r="F85" s="60">
        <v>239668</v>
      </c>
      <c r="G85" s="60">
        <v>263624</v>
      </c>
      <c r="H85" s="60">
        <v>252496</v>
      </c>
      <c r="I85" s="22">
        <v>274641</v>
      </c>
      <c r="J85" s="22">
        <v>243414</v>
      </c>
      <c r="K85" s="22">
        <v>232777</v>
      </c>
    </row>
    <row r="86" spans="1:11" s="56" customFormat="1" ht="15.95" customHeight="1" x14ac:dyDescent="0.15">
      <c r="A86" s="54">
        <v>6</v>
      </c>
      <c r="B86" s="59" t="s">
        <v>90</v>
      </c>
      <c r="C86" s="95">
        <v>323484</v>
      </c>
      <c r="D86" s="60">
        <v>117959</v>
      </c>
      <c r="E86" s="60">
        <v>97404</v>
      </c>
      <c r="F86" s="60">
        <v>74977</v>
      </c>
      <c r="G86" s="60">
        <v>106656</v>
      </c>
      <c r="H86" s="60">
        <v>148204</v>
      </c>
      <c r="I86" s="22">
        <v>88582</v>
      </c>
      <c r="J86" s="22">
        <v>220392</v>
      </c>
      <c r="K86" s="22">
        <v>102997</v>
      </c>
    </row>
    <row r="87" spans="1:11" s="56" customFormat="1" ht="15.95" customHeight="1" x14ac:dyDescent="0.15">
      <c r="A87" s="54">
        <v>7</v>
      </c>
      <c r="B87" s="59" t="s">
        <v>43</v>
      </c>
      <c r="C87" s="95">
        <f>C7+C8+C21+C53+C85+C86</f>
        <v>11311450</v>
      </c>
      <c r="D87" s="60">
        <f>D7+D8+D21+D53+D85+D86</f>
        <v>12630016</v>
      </c>
      <c r="E87" s="60">
        <f>E7+E8+E21+E53+E85+E86</f>
        <v>11760209</v>
      </c>
      <c r="F87" s="60">
        <f t="shared" ref="F87:K87" si="14">F7+F8+F21+F38+F53+F85+F86</f>
        <v>11426937</v>
      </c>
      <c r="G87" s="60">
        <f t="shared" si="14"/>
        <v>11413671</v>
      </c>
      <c r="H87" s="60">
        <f t="shared" si="14"/>
        <v>11892173</v>
      </c>
      <c r="I87" s="22">
        <f t="shared" si="14"/>
        <v>11553712</v>
      </c>
      <c r="J87" s="22">
        <f t="shared" si="14"/>
        <v>10289216</v>
      </c>
      <c r="K87" s="22">
        <f t="shared" si="14"/>
        <v>14085446</v>
      </c>
    </row>
    <row r="88" spans="1:11" s="116" customFormat="1" ht="15" customHeight="1" thickBot="1" x14ac:dyDescent="0.25">
      <c r="A88" s="115"/>
      <c r="C88" s="117"/>
      <c r="D88" s="118"/>
      <c r="E88" s="118"/>
      <c r="G88" s="118"/>
      <c r="I88" s="46"/>
    </row>
    <row r="89" spans="1:11" ht="15.95" customHeight="1" thickBot="1" x14ac:dyDescent="0.25">
      <c r="B89" s="165" t="s">
        <v>44</v>
      </c>
      <c r="C89" s="166"/>
      <c r="D89" s="166"/>
      <c r="E89" s="166"/>
      <c r="F89" s="166"/>
      <c r="G89" s="166"/>
      <c r="H89" s="166"/>
      <c r="I89" s="128"/>
      <c r="J89" s="128"/>
      <c r="K89" s="53"/>
    </row>
    <row r="90" spans="1:11" ht="12.75" x14ac:dyDescent="0.2">
      <c r="C90" s="119"/>
      <c r="D90" s="119"/>
      <c r="E90" s="119"/>
      <c r="F90" s="119"/>
      <c r="K90" s="46"/>
    </row>
    <row r="91" spans="1:11" ht="15" x14ac:dyDescent="0.2">
      <c r="B91" s="55" t="s">
        <v>45</v>
      </c>
      <c r="C91" s="9">
        <v>2007</v>
      </c>
      <c r="D91" s="9">
        <v>2008</v>
      </c>
      <c r="E91" s="9">
        <v>2009</v>
      </c>
      <c r="F91" s="9">
        <v>2010</v>
      </c>
      <c r="G91" s="9">
        <v>2011</v>
      </c>
      <c r="H91" s="9">
        <v>2012</v>
      </c>
      <c r="I91" s="47">
        <v>2013</v>
      </c>
      <c r="J91" s="47">
        <v>2014</v>
      </c>
      <c r="K91" s="47">
        <v>2015</v>
      </c>
    </row>
    <row r="92" spans="1:11" s="56" customFormat="1" ht="15.95" customHeight="1" x14ac:dyDescent="0.15">
      <c r="A92" s="54"/>
      <c r="B92" s="59" t="s">
        <v>46</v>
      </c>
      <c r="C92" s="60">
        <v>6399445</v>
      </c>
      <c r="D92" s="60">
        <v>6581503</v>
      </c>
      <c r="E92" s="60">
        <v>7034915</v>
      </c>
      <c r="F92" s="60">
        <v>6266617</v>
      </c>
      <c r="G92" s="60">
        <v>5595800</v>
      </c>
      <c r="H92" s="60">
        <v>6194111</v>
      </c>
      <c r="I92" s="22">
        <f>7151371-160193-40511</f>
        <v>6950667</v>
      </c>
      <c r="J92" s="22">
        <v>5803776</v>
      </c>
      <c r="K92" s="22">
        <v>6948303</v>
      </c>
    </row>
    <row r="93" spans="1:11" s="56" customFormat="1" ht="15.95" customHeight="1" x14ac:dyDescent="0.15">
      <c r="A93" s="54"/>
      <c r="B93" s="60" t="s">
        <v>47</v>
      </c>
      <c r="C93" s="60">
        <v>3521354</v>
      </c>
      <c r="D93" s="60">
        <v>4479287</v>
      </c>
      <c r="E93" s="60">
        <v>3213162</v>
      </c>
      <c r="F93" s="60">
        <v>3691460</v>
      </c>
      <c r="G93" s="60">
        <v>4296286</v>
      </c>
      <c r="H93" s="60">
        <v>4301744</v>
      </c>
      <c r="I93" s="22">
        <v>3378744</v>
      </c>
      <c r="J93" s="22">
        <v>3368608</v>
      </c>
      <c r="K93" s="22">
        <v>5458867</v>
      </c>
    </row>
    <row r="94" spans="1:11" s="56" customFormat="1" ht="15.95" customHeight="1" x14ac:dyDescent="0.15">
      <c r="A94" s="54"/>
      <c r="B94" s="59" t="s">
        <v>48</v>
      </c>
      <c r="C94" s="60">
        <f>SUM(C92:C93)</f>
        <v>9920799</v>
      </c>
      <c r="D94" s="60">
        <f>SUM(D92:D93)</f>
        <v>11060790</v>
      </c>
      <c r="E94" s="60">
        <f>SUM(E92:E93)</f>
        <v>10248077</v>
      </c>
      <c r="F94" s="60">
        <f>SUM(F92:F93)</f>
        <v>9958077</v>
      </c>
      <c r="G94" s="60">
        <v>9892086</v>
      </c>
      <c r="H94" s="60">
        <v>10495855</v>
      </c>
      <c r="I94" s="22">
        <f>I92+I93</f>
        <v>10329411</v>
      </c>
      <c r="J94" s="22">
        <f>J92+J93</f>
        <v>9172384</v>
      </c>
      <c r="K94" s="22">
        <v>12407170</v>
      </c>
    </row>
    <row r="95" spans="1:11" ht="15" customHeight="1" x14ac:dyDescent="0.2">
      <c r="B95" s="82"/>
      <c r="C95" s="114"/>
      <c r="K95" s="4"/>
    </row>
    <row r="96" spans="1:11" s="56" customFormat="1" ht="15.95" customHeight="1" x14ac:dyDescent="0.15">
      <c r="A96" s="54">
        <v>8</v>
      </c>
      <c r="B96" s="120" t="s">
        <v>49</v>
      </c>
      <c r="C96" s="60">
        <v>934619</v>
      </c>
      <c r="D96" s="60">
        <v>931406</v>
      </c>
      <c r="E96" s="60">
        <v>949528</v>
      </c>
      <c r="F96" s="60">
        <v>1110588</v>
      </c>
      <c r="G96" s="60">
        <v>1057923</v>
      </c>
      <c r="H96" s="60">
        <v>1237588</v>
      </c>
      <c r="I96" s="22">
        <f>1637710-160193-40511</f>
        <v>1437006</v>
      </c>
      <c r="J96" s="22">
        <f>1964819-183874</f>
        <v>1780945</v>
      </c>
      <c r="K96" s="22">
        <v>2406190</v>
      </c>
    </row>
    <row r="97" spans="1:11" s="70" customFormat="1" ht="15" customHeight="1" x14ac:dyDescent="0.15">
      <c r="A97" s="65"/>
      <c r="B97" s="70" t="s">
        <v>14</v>
      </c>
      <c r="C97" s="68">
        <v>6226</v>
      </c>
      <c r="D97" s="68">
        <v>15628</v>
      </c>
      <c r="E97" s="68">
        <v>26886</v>
      </c>
      <c r="F97" s="68">
        <v>27443</v>
      </c>
      <c r="G97" s="68">
        <v>-8560</v>
      </c>
      <c r="H97" s="69">
        <v>-67425</v>
      </c>
      <c r="I97" s="18">
        <f>198075-160193-40511</f>
        <v>-2629</v>
      </c>
      <c r="J97" s="18">
        <v>66523</v>
      </c>
      <c r="K97" s="18">
        <v>73014</v>
      </c>
    </row>
    <row r="98" spans="1:11" s="70" customFormat="1" ht="15" customHeight="1" x14ac:dyDescent="0.15">
      <c r="A98" s="65"/>
      <c r="B98" s="70" t="s">
        <v>50</v>
      </c>
      <c r="C98" s="68">
        <v>5737</v>
      </c>
      <c r="D98" s="68">
        <v>4948</v>
      </c>
      <c r="E98" s="68">
        <v>12815</v>
      </c>
      <c r="F98" s="68">
        <v>15989</v>
      </c>
      <c r="G98" s="68">
        <v>25750</v>
      </c>
      <c r="H98" s="69">
        <v>30799</v>
      </c>
      <c r="I98" s="18">
        <v>54320</v>
      </c>
      <c r="J98" s="18">
        <v>63194</v>
      </c>
      <c r="K98" s="18">
        <v>72018</v>
      </c>
    </row>
    <row r="99" spans="1:11" s="70" customFormat="1" ht="15" customHeight="1" x14ac:dyDescent="0.15">
      <c r="A99" s="65"/>
      <c r="B99" s="70" t="s">
        <v>51</v>
      </c>
      <c r="C99" s="68">
        <v>458549</v>
      </c>
      <c r="D99" s="69">
        <v>672829</v>
      </c>
      <c r="E99" s="69">
        <v>540021</v>
      </c>
      <c r="F99" s="69">
        <v>431668</v>
      </c>
      <c r="G99" s="69">
        <v>502855</v>
      </c>
      <c r="H99" s="69">
        <v>574070</v>
      </c>
      <c r="I99" s="18">
        <v>691567</v>
      </c>
      <c r="J99" s="18">
        <v>766425</v>
      </c>
      <c r="K99" s="18">
        <v>801190</v>
      </c>
    </row>
    <row r="100" spans="1:11" s="70" customFormat="1" ht="15" customHeight="1" x14ac:dyDescent="0.15">
      <c r="A100" s="65"/>
      <c r="B100" s="70" t="s">
        <v>52</v>
      </c>
      <c r="C100" s="87" t="s">
        <v>12</v>
      </c>
      <c r="D100" s="67" t="s">
        <v>12</v>
      </c>
      <c r="E100" s="67" t="s">
        <v>12</v>
      </c>
      <c r="F100" s="112">
        <v>6</v>
      </c>
      <c r="G100" s="69">
        <v>6</v>
      </c>
      <c r="H100" s="69">
        <v>5</v>
      </c>
      <c r="I100" s="18">
        <v>6</v>
      </c>
      <c r="J100" s="18">
        <v>6</v>
      </c>
      <c r="K100" s="18">
        <v>-183</v>
      </c>
    </row>
    <row r="101" spans="1:11" s="70" customFormat="1" ht="15" customHeight="1" x14ac:dyDescent="0.15">
      <c r="A101" s="65"/>
      <c r="B101" s="70" t="s">
        <v>53</v>
      </c>
      <c r="C101" s="68">
        <f>14970+28367</f>
        <v>43337</v>
      </c>
      <c r="D101" s="69">
        <f>8992+16102</f>
        <v>25094</v>
      </c>
      <c r="E101" s="69">
        <f>11444+14653</f>
        <v>26097</v>
      </c>
      <c r="F101" s="69">
        <f>11210+10664</f>
        <v>21874</v>
      </c>
      <c r="G101" s="69">
        <f>10857+4101</f>
        <v>14958</v>
      </c>
      <c r="H101" s="69">
        <f>32229+4105</f>
        <v>36334</v>
      </c>
      <c r="I101" s="18">
        <v>46990</v>
      </c>
      <c r="J101" s="18">
        <f>40013+25423</f>
        <v>65436</v>
      </c>
      <c r="K101" s="18">
        <f>300+11435</f>
        <v>11735</v>
      </c>
    </row>
    <row r="102" spans="1:11" s="70" customFormat="1" ht="15" customHeight="1" x14ac:dyDescent="0.15">
      <c r="A102" s="65"/>
      <c r="B102" s="70" t="s">
        <v>54</v>
      </c>
      <c r="C102" s="67" t="s">
        <v>12</v>
      </c>
      <c r="D102" s="67" t="s">
        <v>12</v>
      </c>
      <c r="E102" s="69">
        <v>10339</v>
      </c>
      <c r="F102" s="69">
        <v>6221</v>
      </c>
      <c r="G102" s="69">
        <v>16049</v>
      </c>
      <c r="H102" s="69">
        <v>16141</v>
      </c>
      <c r="I102" s="18">
        <f>4851+2069</f>
        <v>6920</v>
      </c>
      <c r="J102" s="18">
        <v>3735</v>
      </c>
      <c r="K102" s="18">
        <v>8791</v>
      </c>
    </row>
    <row r="103" spans="1:11" s="70" customFormat="1" ht="15" customHeight="1" x14ac:dyDescent="0.15">
      <c r="A103" s="65"/>
      <c r="B103" s="66" t="s">
        <v>8</v>
      </c>
      <c r="C103" s="68">
        <v>138671</v>
      </c>
      <c r="D103" s="68">
        <v>68237</v>
      </c>
      <c r="E103" s="69">
        <f>153215</f>
        <v>153215</v>
      </c>
      <c r="F103" s="69">
        <v>257507</v>
      </c>
      <c r="G103" s="69">
        <f>269629</f>
        <v>269629</v>
      </c>
      <c r="H103" s="69">
        <v>322142</v>
      </c>
      <c r="I103" s="18">
        <v>330247</v>
      </c>
      <c r="J103" s="18">
        <v>398088</v>
      </c>
      <c r="K103" s="18">
        <v>928522</v>
      </c>
    </row>
    <row r="104" spans="1:11" s="70" customFormat="1" ht="15" customHeight="1" x14ac:dyDescent="0.15">
      <c r="A104" s="65"/>
      <c r="B104" s="70" t="s">
        <v>55</v>
      </c>
      <c r="C104" s="85">
        <v>282099</v>
      </c>
      <c r="D104" s="85">
        <v>144670</v>
      </c>
      <c r="E104" s="69">
        <v>180155</v>
      </c>
      <c r="F104" s="69">
        <v>349880</v>
      </c>
      <c r="G104" s="69">
        <v>237236</v>
      </c>
      <c r="H104" s="69">
        <v>325522</v>
      </c>
      <c r="I104" s="18">
        <v>309585</v>
      </c>
      <c r="J104" s="18">
        <v>417538</v>
      </c>
      <c r="K104" s="18">
        <v>511103</v>
      </c>
    </row>
    <row r="105" spans="1:11" ht="15" customHeight="1" x14ac:dyDescent="0.2">
      <c r="C105" s="121"/>
      <c r="F105" s="70"/>
      <c r="G105" s="70"/>
      <c r="K105" s="4"/>
    </row>
    <row r="106" spans="1:11" s="56" customFormat="1" ht="15.95" customHeight="1" x14ac:dyDescent="0.15">
      <c r="A106" s="54">
        <v>9</v>
      </c>
      <c r="B106" s="120" t="s">
        <v>56</v>
      </c>
      <c r="C106" s="60">
        <v>1848042</v>
      </c>
      <c r="D106" s="60">
        <v>2623012</v>
      </c>
      <c r="E106" s="60">
        <v>2363696</v>
      </c>
      <c r="F106" s="60">
        <v>2363042</v>
      </c>
      <c r="G106" s="60">
        <v>2212752</v>
      </c>
      <c r="H106" s="60">
        <v>2984629</v>
      </c>
      <c r="I106" s="22">
        <v>3570274</v>
      </c>
      <c r="J106" s="22">
        <v>2222378</v>
      </c>
      <c r="K106" s="22">
        <v>2476899</v>
      </c>
    </row>
    <row r="107" spans="1:11" s="70" customFormat="1" ht="15" customHeight="1" x14ac:dyDescent="0.15">
      <c r="A107" s="65"/>
      <c r="B107" s="70" t="s">
        <v>14</v>
      </c>
      <c r="C107" s="68">
        <v>807</v>
      </c>
      <c r="D107" s="68">
        <v>64</v>
      </c>
      <c r="E107" s="122">
        <v>0</v>
      </c>
      <c r="F107" s="122">
        <v>16</v>
      </c>
      <c r="G107" s="69">
        <v>10756</v>
      </c>
      <c r="H107" s="69">
        <v>39056</v>
      </c>
      <c r="I107" s="18">
        <v>26</v>
      </c>
      <c r="J107" s="18">
        <v>785</v>
      </c>
      <c r="K107" s="18">
        <v>1680</v>
      </c>
    </row>
    <row r="108" spans="1:11" s="70" customFormat="1" ht="15" customHeight="1" x14ac:dyDescent="0.15">
      <c r="A108" s="65"/>
      <c r="B108" s="70" t="s">
        <v>50</v>
      </c>
      <c r="C108" s="68">
        <v>5882</v>
      </c>
      <c r="D108" s="68">
        <v>14130</v>
      </c>
      <c r="E108" s="68">
        <v>18310</v>
      </c>
      <c r="F108" s="68">
        <v>12091</v>
      </c>
      <c r="G108" s="69">
        <v>15153</v>
      </c>
      <c r="H108" s="69">
        <v>48042</v>
      </c>
      <c r="I108" s="18">
        <v>16160</v>
      </c>
      <c r="J108" s="18">
        <v>6868</v>
      </c>
      <c r="K108" s="18">
        <v>9258</v>
      </c>
    </row>
    <row r="109" spans="1:11" s="70" customFormat="1" ht="15" customHeight="1" x14ac:dyDescent="0.15">
      <c r="A109" s="65"/>
      <c r="B109" s="70" t="s">
        <v>16</v>
      </c>
      <c r="C109" s="68">
        <v>589162</v>
      </c>
      <c r="D109" s="68">
        <v>667113</v>
      </c>
      <c r="E109" s="68">
        <v>845704</v>
      </c>
      <c r="F109" s="68">
        <v>951751</v>
      </c>
      <c r="G109" s="69">
        <v>854029</v>
      </c>
      <c r="H109" s="69">
        <v>914122</v>
      </c>
      <c r="I109" s="18">
        <v>729569</v>
      </c>
      <c r="J109" s="18">
        <v>618128</v>
      </c>
      <c r="K109" s="18">
        <v>709325</v>
      </c>
    </row>
    <row r="110" spans="1:11" s="70" customFormat="1" ht="15" customHeight="1" x14ac:dyDescent="0.15">
      <c r="A110" s="65"/>
      <c r="B110" s="70" t="s">
        <v>52</v>
      </c>
      <c r="C110" s="87" t="s">
        <v>12</v>
      </c>
      <c r="D110" s="67" t="s">
        <v>12</v>
      </c>
      <c r="E110" s="67" t="s">
        <v>12</v>
      </c>
      <c r="F110" s="112">
        <v>10873</v>
      </c>
      <c r="G110" s="69">
        <v>13384</v>
      </c>
      <c r="H110" s="69">
        <v>6780</v>
      </c>
      <c r="I110" s="18">
        <v>12341</v>
      </c>
      <c r="J110" s="18">
        <v>11358</v>
      </c>
      <c r="K110" s="18">
        <v>17225</v>
      </c>
    </row>
    <row r="111" spans="1:11" s="70" customFormat="1" ht="15" customHeight="1" x14ac:dyDescent="0.15">
      <c r="A111" s="65"/>
      <c r="B111" s="70" t="s">
        <v>53</v>
      </c>
      <c r="C111" s="68">
        <f>3182+10998</f>
        <v>14180</v>
      </c>
      <c r="D111" s="68">
        <f>566+10252</f>
        <v>10818</v>
      </c>
      <c r="E111" s="68">
        <f>223+1399</f>
        <v>1622</v>
      </c>
      <c r="F111" s="68">
        <f>648+3315</f>
        <v>3963</v>
      </c>
      <c r="G111" s="69">
        <f>490+2533</f>
        <v>3023</v>
      </c>
      <c r="H111" s="69">
        <f>494+4480</f>
        <v>4974</v>
      </c>
      <c r="I111" s="18">
        <f>0+9777</f>
        <v>9777</v>
      </c>
      <c r="J111" s="18">
        <v>7555</v>
      </c>
      <c r="K111" s="18">
        <v>1648</v>
      </c>
    </row>
    <row r="112" spans="1:11" s="70" customFormat="1" ht="15" customHeight="1" x14ac:dyDescent="0.15">
      <c r="A112" s="65"/>
      <c r="B112" s="70" t="s">
        <v>54</v>
      </c>
      <c r="C112" s="67" t="s">
        <v>12</v>
      </c>
      <c r="D112" s="67" t="s">
        <v>12</v>
      </c>
      <c r="E112" s="69">
        <v>20403</v>
      </c>
      <c r="F112" s="69">
        <v>7988</v>
      </c>
      <c r="G112" s="69">
        <v>6405</v>
      </c>
      <c r="H112" s="69">
        <v>10686</v>
      </c>
      <c r="I112" s="18">
        <v>24840</v>
      </c>
      <c r="J112" s="18">
        <v>20638</v>
      </c>
      <c r="K112" s="18">
        <v>5916</v>
      </c>
    </row>
    <row r="113" spans="1:11" s="70" customFormat="1" ht="15" customHeight="1" x14ac:dyDescent="0.15">
      <c r="A113" s="65"/>
      <c r="B113" s="66" t="s">
        <v>8</v>
      </c>
      <c r="C113" s="68">
        <v>865222</v>
      </c>
      <c r="D113" s="68">
        <v>1494141</v>
      </c>
      <c r="E113" s="68">
        <f>878319</f>
        <v>878319</v>
      </c>
      <c r="F113" s="68">
        <f>722195</f>
        <v>722195</v>
      </c>
      <c r="G113" s="68">
        <f>548430</f>
        <v>548430</v>
      </c>
      <c r="H113" s="69">
        <v>1156900</v>
      </c>
      <c r="I113" s="18">
        <v>1944883</v>
      </c>
      <c r="J113" s="18">
        <v>747538</v>
      </c>
      <c r="K113" s="18">
        <v>881969</v>
      </c>
    </row>
    <row r="114" spans="1:11" s="70" customFormat="1" ht="15" customHeight="1" x14ac:dyDescent="0.15">
      <c r="A114" s="65"/>
      <c r="B114" s="70" t="s">
        <v>55</v>
      </c>
      <c r="C114" s="68">
        <v>372789</v>
      </c>
      <c r="D114" s="68">
        <v>436746</v>
      </c>
      <c r="E114" s="68">
        <v>599338</v>
      </c>
      <c r="F114" s="68">
        <v>654165</v>
      </c>
      <c r="G114" s="68">
        <v>761572</v>
      </c>
      <c r="H114" s="69">
        <v>804069</v>
      </c>
      <c r="I114" s="18">
        <v>832678</v>
      </c>
      <c r="J114" s="18">
        <v>809508</v>
      </c>
      <c r="K114" s="18">
        <v>849878</v>
      </c>
    </row>
    <row r="115" spans="1:11" ht="12" customHeight="1" x14ac:dyDescent="0.2">
      <c r="C115" s="121"/>
      <c r="F115" s="70"/>
      <c r="G115" s="70"/>
      <c r="K115" s="50"/>
    </row>
    <row r="116" spans="1:11" s="56" customFormat="1" ht="15.95" customHeight="1" x14ac:dyDescent="0.15">
      <c r="A116" s="54">
        <v>10</v>
      </c>
      <c r="B116" s="120" t="s">
        <v>57</v>
      </c>
      <c r="C116" s="60">
        <v>3616784</v>
      </c>
      <c r="D116" s="60">
        <v>3027084</v>
      </c>
      <c r="E116" s="60">
        <v>3721691</v>
      </c>
      <c r="F116" s="60">
        <v>2792987</v>
      </c>
      <c r="G116" s="60">
        <v>2325125</v>
      </c>
      <c r="H116" s="60">
        <v>1971894</v>
      </c>
      <c r="I116" s="22">
        <v>1943387</v>
      </c>
      <c r="J116" s="22">
        <v>1800453</v>
      </c>
      <c r="K116" s="22">
        <v>2065215</v>
      </c>
    </row>
    <row r="117" spans="1:11" s="70" customFormat="1" ht="15" customHeight="1" x14ac:dyDescent="0.15">
      <c r="A117" s="65"/>
      <c r="B117" s="70" t="s">
        <v>14</v>
      </c>
      <c r="C117" s="68">
        <v>376432</v>
      </c>
      <c r="D117" s="68">
        <v>90767</v>
      </c>
      <c r="E117" s="68">
        <v>93971</v>
      </c>
      <c r="F117" s="68">
        <v>103072</v>
      </c>
      <c r="G117" s="68">
        <v>96972</v>
      </c>
      <c r="H117" s="69">
        <v>94118</v>
      </c>
      <c r="I117" s="18">
        <v>142276</v>
      </c>
      <c r="J117" s="18">
        <v>200286</v>
      </c>
      <c r="K117" s="18">
        <v>467623</v>
      </c>
    </row>
    <row r="118" spans="1:11" s="70" customFormat="1" ht="15" customHeight="1" x14ac:dyDescent="0.15">
      <c r="A118" s="65"/>
      <c r="B118" s="70" t="s">
        <v>50</v>
      </c>
      <c r="C118" s="85">
        <v>13725</v>
      </c>
      <c r="D118" s="68">
        <v>24267</v>
      </c>
      <c r="E118" s="68">
        <v>19885</v>
      </c>
      <c r="F118" s="68">
        <v>26946</v>
      </c>
      <c r="G118" s="68">
        <v>29695</v>
      </c>
      <c r="H118" s="69">
        <v>29131</v>
      </c>
      <c r="I118" s="18">
        <v>32318</v>
      </c>
      <c r="J118" s="18">
        <v>42691</v>
      </c>
      <c r="K118" s="18">
        <v>38083</v>
      </c>
    </row>
    <row r="119" spans="1:11" s="70" customFormat="1" ht="15" customHeight="1" x14ac:dyDescent="0.15">
      <c r="A119" s="65"/>
      <c r="B119" s="70" t="s">
        <v>16</v>
      </c>
      <c r="C119" s="85">
        <v>980769</v>
      </c>
      <c r="D119" s="68">
        <v>1307105</v>
      </c>
      <c r="E119" s="68">
        <v>1228681</v>
      </c>
      <c r="F119" s="68">
        <v>1195487</v>
      </c>
      <c r="G119" s="68">
        <v>619469</v>
      </c>
      <c r="H119" s="69">
        <v>514417</v>
      </c>
      <c r="I119" s="18">
        <v>573536</v>
      </c>
      <c r="J119" s="18">
        <v>391398</v>
      </c>
      <c r="K119" s="18">
        <v>455632</v>
      </c>
    </row>
    <row r="120" spans="1:11" s="70" customFormat="1" ht="15" customHeight="1" x14ac:dyDescent="0.15">
      <c r="A120" s="65"/>
      <c r="B120" s="70" t="s">
        <v>52</v>
      </c>
      <c r="C120" s="87" t="s">
        <v>12</v>
      </c>
      <c r="D120" s="67" t="s">
        <v>12</v>
      </c>
      <c r="E120" s="67" t="s">
        <v>12</v>
      </c>
      <c r="F120" s="112">
        <v>1838</v>
      </c>
      <c r="G120" s="68">
        <v>1840</v>
      </c>
      <c r="H120" s="69">
        <v>1923</v>
      </c>
      <c r="I120" s="2">
        <v>0</v>
      </c>
      <c r="J120" s="2">
        <v>0</v>
      </c>
      <c r="K120" s="18">
        <v>5862</v>
      </c>
    </row>
    <row r="121" spans="1:11" s="70" customFormat="1" ht="15" customHeight="1" x14ac:dyDescent="0.15">
      <c r="A121" s="65"/>
      <c r="B121" s="70" t="s">
        <v>58</v>
      </c>
      <c r="C121" s="85">
        <v>13652</v>
      </c>
      <c r="D121" s="68">
        <f>2632+26837</f>
        <v>29469</v>
      </c>
      <c r="E121" s="68">
        <f>2136+11601</f>
        <v>13737</v>
      </c>
      <c r="F121" s="68">
        <f>2048+7379</f>
        <v>9427</v>
      </c>
      <c r="G121" s="68">
        <f>1738+4404</f>
        <v>6142</v>
      </c>
      <c r="H121" s="69">
        <f>8748+20893</f>
        <v>29641</v>
      </c>
      <c r="I121" s="18">
        <f>20788+12194</f>
        <v>32982</v>
      </c>
      <c r="J121" s="18">
        <f>39382+2573</f>
        <v>41955</v>
      </c>
      <c r="K121" s="18">
        <f>8366+6925</f>
        <v>15291</v>
      </c>
    </row>
    <row r="122" spans="1:11" s="70" customFormat="1" ht="15" customHeight="1" x14ac:dyDescent="0.15">
      <c r="A122" s="65"/>
      <c r="B122" s="70" t="s">
        <v>54</v>
      </c>
      <c r="C122" s="87" t="s">
        <v>12</v>
      </c>
      <c r="D122" s="67" t="s">
        <v>12</v>
      </c>
      <c r="E122" s="68">
        <v>79396</v>
      </c>
      <c r="F122" s="68">
        <v>61232</v>
      </c>
      <c r="G122" s="68">
        <v>22496</v>
      </c>
      <c r="H122" s="69">
        <v>14927</v>
      </c>
      <c r="I122" s="18">
        <v>38789</v>
      </c>
      <c r="J122" s="18">
        <v>19516</v>
      </c>
      <c r="K122" s="18">
        <v>34947</v>
      </c>
    </row>
    <row r="123" spans="1:11" s="70" customFormat="1" ht="15" customHeight="1" x14ac:dyDescent="0.15">
      <c r="A123" s="65"/>
      <c r="B123" s="66" t="s">
        <v>8</v>
      </c>
      <c r="C123" s="85">
        <f>907431+187100</f>
        <v>1094531</v>
      </c>
      <c r="D123" s="68">
        <v>609859</v>
      </c>
      <c r="E123" s="68">
        <f>764718</f>
        <v>764718</v>
      </c>
      <c r="F123" s="68">
        <v>558142</v>
      </c>
      <c r="G123" s="68">
        <f>488836</f>
        <v>488836</v>
      </c>
      <c r="H123" s="69">
        <v>373403</v>
      </c>
      <c r="I123" s="18">
        <v>333949</v>
      </c>
      <c r="J123" s="18">
        <v>286783</v>
      </c>
      <c r="K123" s="18">
        <v>332048</v>
      </c>
    </row>
    <row r="124" spans="1:11" s="70" customFormat="1" ht="15" customHeight="1" x14ac:dyDescent="0.15">
      <c r="A124" s="65"/>
      <c r="B124" s="70" t="s">
        <v>55</v>
      </c>
      <c r="C124" s="85">
        <v>1137675</v>
      </c>
      <c r="D124" s="68">
        <v>965617</v>
      </c>
      <c r="E124" s="68">
        <v>1521303</v>
      </c>
      <c r="F124" s="68">
        <v>836843</v>
      </c>
      <c r="G124" s="68">
        <v>1059675</v>
      </c>
      <c r="H124" s="69">
        <v>914334</v>
      </c>
      <c r="I124" s="18">
        <v>789537</v>
      </c>
      <c r="J124" s="18">
        <v>817824</v>
      </c>
      <c r="K124" s="18">
        <v>715729</v>
      </c>
    </row>
    <row r="125" spans="1:11" ht="12" customHeight="1" x14ac:dyDescent="0.2">
      <c r="C125" s="121"/>
      <c r="K125" s="4"/>
    </row>
    <row r="126" spans="1:11" s="56" customFormat="1" ht="15" customHeight="1" x14ac:dyDescent="0.15">
      <c r="A126" s="54">
        <v>11</v>
      </c>
      <c r="B126" s="59" t="s">
        <v>59</v>
      </c>
      <c r="C126" s="60">
        <v>3521354</v>
      </c>
      <c r="D126" s="60">
        <v>4479287</v>
      </c>
      <c r="E126" s="60">
        <v>3213162</v>
      </c>
      <c r="F126" s="60">
        <v>3691460</v>
      </c>
      <c r="G126" s="60">
        <v>4296286</v>
      </c>
      <c r="H126" s="60">
        <v>4301744</v>
      </c>
      <c r="I126" s="22">
        <v>3378744</v>
      </c>
      <c r="J126" s="22">
        <v>3368608</v>
      </c>
      <c r="K126" s="22">
        <v>5458867</v>
      </c>
    </row>
    <row r="127" spans="1:11" s="70" customFormat="1" ht="15" customHeight="1" x14ac:dyDescent="0.15">
      <c r="A127" s="65"/>
      <c r="B127" s="77" t="s">
        <v>10</v>
      </c>
      <c r="C127" s="78" t="s">
        <v>12</v>
      </c>
      <c r="D127" s="78" t="s">
        <v>12</v>
      </c>
      <c r="E127" s="78" t="s">
        <v>12</v>
      </c>
      <c r="F127" s="67">
        <v>533385</v>
      </c>
      <c r="G127" s="85">
        <v>2229534</v>
      </c>
      <c r="H127" s="85">
        <v>1977930</v>
      </c>
      <c r="I127" s="35">
        <v>2049603</v>
      </c>
      <c r="J127" s="35">
        <v>2054191</v>
      </c>
      <c r="K127" s="35">
        <v>3396078</v>
      </c>
    </row>
    <row r="128" spans="1:11" s="70" customFormat="1" ht="15" customHeight="1" x14ac:dyDescent="0.15">
      <c r="A128" s="65"/>
      <c r="B128" s="66" t="s">
        <v>11</v>
      </c>
      <c r="C128" s="78" t="s">
        <v>12</v>
      </c>
      <c r="D128" s="78" t="s">
        <v>12</v>
      </c>
      <c r="E128" s="78" t="s">
        <v>12</v>
      </c>
      <c r="F128" s="67" t="s">
        <v>12</v>
      </c>
      <c r="G128" s="67" t="s">
        <v>12</v>
      </c>
      <c r="H128" s="70">
        <v>0</v>
      </c>
      <c r="I128" s="2">
        <v>96</v>
      </c>
      <c r="J128" s="18">
        <v>1657</v>
      </c>
      <c r="K128" s="18">
        <v>-9693</v>
      </c>
    </row>
    <row r="129" spans="1:31" s="70" customFormat="1" ht="15" customHeight="1" x14ac:dyDescent="0.15">
      <c r="A129" s="65"/>
      <c r="B129" s="66" t="s">
        <v>8</v>
      </c>
      <c r="C129" s="78" t="s">
        <v>12</v>
      </c>
      <c r="D129" s="78" t="s">
        <v>12</v>
      </c>
      <c r="E129" s="78" t="s">
        <v>12</v>
      </c>
      <c r="F129" s="67" t="s">
        <v>12</v>
      </c>
      <c r="G129" s="67" t="s">
        <v>12</v>
      </c>
      <c r="H129" s="69">
        <v>47566</v>
      </c>
      <c r="I129" s="18">
        <v>101601</v>
      </c>
      <c r="J129" s="18">
        <v>156602</v>
      </c>
      <c r="K129" s="18">
        <v>349014</v>
      </c>
    </row>
    <row r="130" spans="1:31" s="70" customFormat="1" ht="15" customHeight="1" x14ac:dyDescent="0.15">
      <c r="A130" s="65"/>
      <c r="B130" s="66" t="s">
        <v>77</v>
      </c>
      <c r="C130" s="78" t="s">
        <v>12</v>
      </c>
      <c r="D130" s="78" t="s">
        <v>12</v>
      </c>
      <c r="E130" s="78" t="s">
        <v>12</v>
      </c>
      <c r="F130" s="78" t="s">
        <v>12</v>
      </c>
      <c r="G130" s="69">
        <v>1383370</v>
      </c>
      <c r="H130" s="78">
        <v>1759253</v>
      </c>
      <c r="I130" s="92">
        <v>745372</v>
      </c>
      <c r="J130" s="18">
        <v>433379</v>
      </c>
      <c r="K130" s="18">
        <v>1063987</v>
      </c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</row>
    <row r="131" spans="1:31" s="70" customFormat="1" ht="15" customHeight="1" x14ac:dyDescent="0.15">
      <c r="A131" s="65"/>
      <c r="B131" s="66" t="s">
        <v>80</v>
      </c>
      <c r="C131" s="78" t="s">
        <v>12</v>
      </c>
      <c r="D131" s="78" t="s">
        <v>12</v>
      </c>
      <c r="E131" s="78" t="s">
        <v>12</v>
      </c>
      <c r="F131" s="78">
        <v>3158075</v>
      </c>
      <c r="G131" s="92">
        <v>683382</v>
      </c>
      <c r="H131" s="78">
        <v>516995</v>
      </c>
      <c r="I131" s="92">
        <v>482072</v>
      </c>
      <c r="J131" s="18">
        <v>722779</v>
      </c>
      <c r="K131" s="18">
        <v>659481</v>
      </c>
    </row>
    <row r="132" spans="1:31" s="56" customFormat="1" ht="12" customHeight="1" x14ac:dyDescent="0.15">
      <c r="A132" s="54"/>
      <c r="B132" s="88"/>
      <c r="C132" s="124"/>
      <c r="D132" s="124"/>
      <c r="E132" s="74"/>
      <c r="F132" s="76"/>
      <c r="G132" s="76"/>
      <c r="I132" s="10"/>
      <c r="J132" s="10"/>
      <c r="K132" s="10"/>
    </row>
    <row r="133" spans="1:31" ht="15.95" customHeight="1" x14ac:dyDescent="0.2">
      <c r="A133" s="54">
        <v>12</v>
      </c>
      <c r="B133" s="59" t="s">
        <v>60</v>
      </c>
      <c r="C133" s="60">
        <v>0</v>
      </c>
      <c r="D133" s="60">
        <v>0</v>
      </c>
      <c r="E133" s="60">
        <v>0</v>
      </c>
      <c r="F133" s="60">
        <v>0</v>
      </c>
      <c r="G133" s="60">
        <v>0</v>
      </c>
      <c r="H133" s="60">
        <v>2481</v>
      </c>
      <c r="I133" s="22">
        <v>41</v>
      </c>
      <c r="J133" s="22">
        <v>0</v>
      </c>
      <c r="K133" s="22">
        <v>0</v>
      </c>
    </row>
    <row r="134" spans="1:31" ht="15.95" customHeight="1" x14ac:dyDescent="0.2">
      <c r="A134" s="54">
        <v>13</v>
      </c>
      <c r="B134" s="59" t="s">
        <v>61</v>
      </c>
      <c r="C134" s="60">
        <v>348851</v>
      </c>
      <c r="D134" s="60">
        <v>489498</v>
      </c>
      <c r="E134" s="60">
        <v>310185</v>
      </c>
      <c r="F134" s="60">
        <v>195236</v>
      </c>
      <c r="G134" s="60">
        <v>169013</v>
      </c>
      <c r="H134" s="60">
        <f>174018</f>
        <v>174018</v>
      </c>
      <c r="I134" s="22">
        <v>167113</v>
      </c>
      <c r="J134" s="22">
        <v>177372</v>
      </c>
      <c r="K134" s="22">
        <v>175750</v>
      </c>
    </row>
    <row r="135" spans="1:31" ht="15.95" customHeight="1" x14ac:dyDescent="0.2">
      <c r="A135" s="54">
        <v>14</v>
      </c>
      <c r="B135" s="59" t="s">
        <v>62</v>
      </c>
      <c r="C135" s="60">
        <f>C134+C126+C116+C106+C96</f>
        <v>10269650</v>
      </c>
      <c r="D135" s="60">
        <f>D134+D126+D116+D106+D96</f>
        <v>11550287</v>
      </c>
      <c r="E135" s="60">
        <f>E134+E126+E116+E106+E96</f>
        <v>10558262</v>
      </c>
      <c r="F135" s="60">
        <f>F134+F126+F116+F106+F96</f>
        <v>10153313</v>
      </c>
      <c r="G135" s="60">
        <f>G134+G126+G116+G106+G96</f>
        <v>10061099</v>
      </c>
      <c r="H135" s="60">
        <f>H133+H134+H126+H116+H106+H96</f>
        <v>10672354</v>
      </c>
      <c r="I135" s="22">
        <f>I134+I133+I126+I116+I106+I96</f>
        <v>10496565</v>
      </c>
      <c r="J135" s="22">
        <f>J134+J133+J126+J116+J106+J96</f>
        <v>9349756</v>
      </c>
      <c r="K135" s="22">
        <f t="shared" ref="K135" si="15">K134+K133+K126+K116+K106+K96</f>
        <v>12582921</v>
      </c>
    </row>
    <row r="136" spans="1:31" ht="15.95" customHeight="1" x14ac:dyDescent="0.2">
      <c r="A136" s="54">
        <v>15</v>
      </c>
      <c r="B136" s="120" t="s">
        <v>63</v>
      </c>
      <c r="C136" s="60">
        <v>1041800</v>
      </c>
      <c r="D136" s="60">
        <v>1079729</v>
      </c>
      <c r="E136" s="60">
        <v>1201947</v>
      </c>
      <c r="F136" s="60">
        <v>1273624</v>
      </c>
      <c r="G136" s="60">
        <v>1352572</v>
      </c>
      <c r="H136" s="60">
        <v>1219819</v>
      </c>
      <c r="I136" s="22">
        <v>1057147</v>
      </c>
      <c r="J136" s="22">
        <v>939460</v>
      </c>
      <c r="K136" s="22">
        <v>1502525</v>
      </c>
    </row>
    <row r="137" spans="1:31" ht="15.95" customHeight="1" x14ac:dyDescent="0.2">
      <c r="A137" s="54">
        <v>16</v>
      </c>
      <c r="B137" s="59" t="s">
        <v>64</v>
      </c>
      <c r="C137" s="60">
        <f t="shared" ref="C137:H137" si="16">C136+C135</f>
        <v>11311450</v>
      </c>
      <c r="D137" s="60">
        <f t="shared" si="16"/>
        <v>12630016</v>
      </c>
      <c r="E137" s="60">
        <f t="shared" si="16"/>
        <v>11760209</v>
      </c>
      <c r="F137" s="60">
        <f t="shared" si="16"/>
        <v>11426937</v>
      </c>
      <c r="G137" s="60">
        <f t="shared" si="16"/>
        <v>11413671</v>
      </c>
      <c r="H137" s="60">
        <f t="shared" si="16"/>
        <v>11892173</v>
      </c>
      <c r="I137" s="22">
        <f>I136+I135</f>
        <v>11553712</v>
      </c>
      <c r="J137" s="22">
        <f>J136+J135</f>
        <v>10289216</v>
      </c>
      <c r="K137" s="22">
        <f>K136+K135</f>
        <v>14085446</v>
      </c>
    </row>
    <row r="138" spans="1:31" ht="15.95" customHeight="1" x14ac:dyDescent="0.2">
      <c r="A138" s="54"/>
      <c r="B138" s="59"/>
      <c r="C138" s="60"/>
      <c r="D138" s="60"/>
      <c r="E138" s="60"/>
      <c r="F138" s="60"/>
      <c r="G138" s="60"/>
      <c r="H138" s="60"/>
      <c r="I138" s="2"/>
      <c r="J138" s="2"/>
    </row>
    <row r="139" spans="1:31" s="70" customFormat="1" ht="12" customHeight="1" x14ac:dyDescent="0.15">
      <c r="A139" s="65"/>
      <c r="B139" s="70" t="s">
        <v>65</v>
      </c>
      <c r="C139" s="64"/>
      <c r="D139" s="64"/>
      <c r="E139" s="64"/>
      <c r="F139" s="64"/>
      <c r="I139" s="2"/>
    </row>
    <row r="140" spans="1:31" s="70" customFormat="1" ht="12" customHeight="1" x14ac:dyDescent="0.2">
      <c r="A140" s="65"/>
      <c r="B140" s="125" t="s">
        <v>66</v>
      </c>
      <c r="I140" s="4"/>
      <c r="K140" s="2"/>
    </row>
    <row r="141" spans="1:31" s="70" customFormat="1" ht="12" customHeight="1" x14ac:dyDescent="0.2">
      <c r="A141" s="65"/>
      <c r="B141" s="70" t="s">
        <v>67</v>
      </c>
      <c r="I141" s="4"/>
      <c r="K141" s="2"/>
    </row>
    <row r="142" spans="1:31" ht="12" hidden="1" customHeight="1" x14ac:dyDescent="0.2">
      <c r="B142" s="70" t="s">
        <v>68</v>
      </c>
      <c r="J142" s="2"/>
      <c r="K142" s="4"/>
    </row>
    <row r="143" spans="1:31" ht="12" hidden="1" customHeight="1" x14ac:dyDescent="0.2">
      <c r="B143" s="70" t="s">
        <v>69</v>
      </c>
      <c r="K143" s="4"/>
    </row>
    <row r="144" spans="1:31" s="70" customFormat="1" ht="15.95" hidden="1" customHeight="1" x14ac:dyDescent="0.2">
      <c r="A144" s="126"/>
      <c r="B144" s="70" t="s">
        <v>70</v>
      </c>
      <c r="J144" s="4"/>
      <c r="K144" s="2"/>
    </row>
    <row r="145" spans="1:11" ht="12" hidden="1" customHeight="1" x14ac:dyDescent="0.2">
      <c r="B145" s="70" t="s">
        <v>71</v>
      </c>
      <c r="I145" s="6"/>
      <c r="J145" s="6"/>
      <c r="K145" s="4"/>
    </row>
    <row r="146" spans="1:11" s="70" customFormat="1" ht="12" hidden="1" customHeight="1" x14ac:dyDescent="0.2">
      <c r="A146" s="65"/>
      <c r="B146" s="70" t="s">
        <v>72</v>
      </c>
      <c r="I146" s="4"/>
      <c r="J146" s="4"/>
      <c r="K146" s="2"/>
    </row>
    <row r="147" spans="1:11" ht="15.95" customHeight="1" x14ac:dyDescent="0.2">
      <c r="I147" s="2"/>
      <c r="J147" s="2"/>
    </row>
    <row r="150" spans="1:11" ht="15.95" customHeight="1" x14ac:dyDescent="0.2">
      <c r="B150" s="127"/>
      <c r="H150" s="92"/>
    </row>
  </sheetData>
  <mergeCells count="2">
    <mergeCell ref="B3:H3"/>
    <mergeCell ref="B89:H89"/>
  </mergeCells>
  <pageMargins left="0.7" right="0.7" top="0.75" bottom="0.75" header="0.3" footer="0.3"/>
  <pageSetup paperSize="5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2015 - 2019</vt:lpstr>
      <vt:lpstr>2007 - 2014</vt:lpstr>
      <vt:lpstr>'2015 - 2019'!Print_Area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Assets &amp;amp; Liabilities - Category A - Retail Banks 2008-2015Q1</dc:title>
  <dc:creator>Development Policy</dc:creator>
  <cp:lastModifiedBy>Forbes, David</cp:lastModifiedBy>
  <cp:revision/>
  <cp:lastPrinted>2019-06-11T19:42:15Z</cp:lastPrinted>
  <dcterms:created xsi:type="dcterms:W3CDTF">2009-02-11T18:05:35Z</dcterms:created>
  <dcterms:modified xsi:type="dcterms:W3CDTF">2020-01-15T16:23:07Z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DownloadAsset.aspx?id=2147484819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2015-06-09T16:29:01Z</vt:filetime>
  </property>
  <property fmtid="{D5CDD505-2E9C-101B-9397-08002B2CF9AE}" pid="10" name="EktDateModified">
    <vt:filetime>2015-06-09T16:29:02Z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201728</vt:i4>
  </property>
  <property fmtid="{D5CDD505-2E9C-101B-9397-08002B2CF9AE}" pid="14" name="EktSearchable">
    <vt:i4>1</vt:i4>
  </property>
  <property fmtid="{D5CDD505-2E9C-101B-9397-08002B2CF9AE}" pid="15" name="EktEDescription">
    <vt:lpwstr>Statement of Assets &amp;amp;amp; Liabilities - Category A - Retail Banks 2008-2015Q1</vt:lpwstr>
  </property>
  <property fmtid="{D5CDD505-2E9C-101B-9397-08002B2CF9AE}" pid="16" name="EktStatistics_and_Regulated_Entities">
    <vt:lpwstr>Banking Statistics Category A Statistics Survey Survey Results </vt:lpwstr>
  </property>
</Properties>
</file>