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2767" windowWidth="15135" windowHeight="7800" activeTab="3"/>
  </bookViews>
  <sheets>
    <sheet name=" 2007-2011" sheetId="1" r:id="rId1"/>
    <sheet name=" 2012-2016" sheetId="2" r:id="rId2"/>
    <sheet name="2017-2020" sheetId="3" r:id="rId3"/>
    <sheet name="2020-2023 by quarter" sheetId="4" r:id="rId4"/>
  </sheets>
  <definedNames/>
  <calcPr fullCalcOnLoad="1"/>
</workbook>
</file>

<file path=xl/sharedStrings.xml><?xml version="1.0" encoding="utf-8"?>
<sst xmlns="http://schemas.openxmlformats.org/spreadsheetml/2006/main" count="471" uniqueCount="89">
  <si>
    <t>Offshore Centres</t>
  </si>
  <si>
    <t>Developing Asia &amp; Pacific</t>
  </si>
  <si>
    <t>Developing Latin America &amp; Caribbean</t>
  </si>
  <si>
    <t>Developing Africa &amp; Middle East</t>
  </si>
  <si>
    <t>Developed Countries</t>
  </si>
  <si>
    <t>Total</t>
  </si>
  <si>
    <t>^ Nonbank includes Corporations, Trusts, Individuals, CD's and Others.</t>
  </si>
  <si>
    <t>Non-Bank^</t>
  </si>
  <si>
    <t>Bank</t>
  </si>
  <si>
    <t xml:space="preserve">Developing Europe </t>
  </si>
  <si>
    <t>INTERNATIONAL ASSETS AND LIABILITIES OF THE CAYMAN ISLANDS BANKING SECTOR BY REGION (in millions of US$)</t>
  </si>
  <si>
    <t>Total International Assets - All Currencies</t>
  </si>
  <si>
    <t>o/w Cross-Border Liabilities in all Currencies (Dom. &amp; For.)</t>
  </si>
  <si>
    <t>Total International Liabilities - All Currencies</t>
  </si>
  <si>
    <t>Key:</t>
  </si>
  <si>
    <t>*Cross Border Loans reported in the BIS International Banking Statistics include Cash Items, Loans and Repo's</t>
  </si>
  <si>
    <t xml:space="preserve">** Cross-Border Deposit Liabilities reported on the BIS International Banking Statistics include Deposits, Repos &amp; Long-Term Debt. </t>
  </si>
  <si>
    <t xml:space="preserve">(This report is derived from Banking Sector data which is submitted to the Bank for International Settlements (BIS) as part of the BIS International Banking Statistics). </t>
  </si>
  <si>
    <t>Unallocated</t>
  </si>
  <si>
    <t>International Org. &amp; Unallocated</t>
  </si>
  <si>
    <t>2012Q1</t>
  </si>
  <si>
    <t>Updated October 19, 2015</t>
  </si>
  <si>
    <t>o/w External (Cross-Border) Assets in all Currencies (Dom. &amp; For.)</t>
  </si>
  <si>
    <t>Total Domestic (Local) Assets - Foreign Currencies</t>
  </si>
  <si>
    <t>Domestic  (KY) Loans</t>
  </si>
  <si>
    <t>Domestic (KY) Debt Securities</t>
  </si>
  <si>
    <t>Domestic (KY) Other Assets</t>
  </si>
  <si>
    <t>External (Cross-Border) - Loans</t>
  </si>
  <si>
    <t>o/w Domestic (Local) Assets in Foreign Currency</t>
  </si>
  <si>
    <t>Total External (Cross-Border) Assets - All Curencies</t>
  </si>
  <si>
    <t>External (Cross-Border) - Debt. Securities</t>
  </si>
  <si>
    <t>External (Cross-Border) - Other Assets</t>
  </si>
  <si>
    <t>o/w Domestic (KY) Liabilities in Foreign Currency</t>
  </si>
  <si>
    <t>Total Domestic(Local) Liabilities - Foreign Currency</t>
  </si>
  <si>
    <t>Domestic (KY) Deposits</t>
  </si>
  <si>
    <t>Domestic (KY) Own Issue of Debt Securities</t>
  </si>
  <si>
    <t>Domestic (KY) Other Liabilities</t>
  </si>
  <si>
    <t>External (Cross-Border) - Deposits **</t>
  </si>
  <si>
    <t>External (Cross-Border) - Own Issues of Securities</t>
  </si>
  <si>
    <t xml:space="preserve">External (Cross-Border) - Other Liabilities </t>
  </si>
  <si>
    <t>Total External (Cross-Border) Liabilities - All Currencies</t>
  </si>
  <si>
    <t>Updated April 4, 2016</t>
  </si>
  <si>
    <t>Domestic (Local) Liabilities - Foreign Currency</t>
  </si>
  <si>
    <t>1. International Positions</t>
  </si>
  <si>
    <t>Cross-Border Positions (Assets) - Foreign &amp; Domestic  Currency</t>
  </si>
  <si>
    <t>Cross-Border Positions (Assets) - Debt Securities</t>
  </si>
  <si>
    <t>Cross-Border Positions (Assets) - Other Assets</t>
  </si>
  <si>
    <t xml:space="preserve">     o/w Domestic (Local) Positions - Loans</t>
  </si>
  <si>
    <t xml:space="preserve">     o/w Domestic (Local) Positions - Debt Securities</t>
  </si>
  <si>
    <t xml:space="preserve">     o/w Domestic (Local) Positions - Other Assets</t>
  </si>
  <si>
    <t>Total Positions (Assets) - All Currencies (1 + 2)</t>
  </si>
  <si>
    <t>Domestic (Local) Positions (Assets) - Foreign Currency</t>
  </si>
  <si>
    <t xml:space="preserve">     o/w Domestic (Local) Positions (Assets) - Foreign Currency </t>
  </si>
  <si>
    <t>Total Positions (Liabilities) - All Currencies (1 + 2)</t>
  </si>
  <si>
    <t xml:space="preserve">   o/w Domestic (Local) Positions (Liabilities) - Foreign Currency</t>
  </si>
  <si>
    <t xml:space="preserve">     o/w Cross-Border Positions (Assets) - Foreign  &amp; Domestic Currency</t>
  </si>
  <si>
    <t xml:space="preserve">   o/w Cross-Border Positions (Liabilities) - Foreign &amp; Domestic  Currency</t>
  </si>
  <si>
    <t>2. Domestic (Local) Positions (Assets) - Domestic (KYD) Currency</t>
  </si>
  <si>
    <t>2. Domestic (Local) Positions (Liabilities) - Domestic (KYD) Currency</t>
  </si>
  <si>
    <t xml:space="preserve">   o/w Domestic (Local) Positions - Deposits</t>
  </si>
  <si>
    <t xml:space="preserve">   o/w Domestic (Local) Positions - Debt Securities</t>
  </si>
  <si>
    <t xml:space="preserve">   o/w Domestic (Local) Positions - Other Liabilities</t>
  </si>
  <si>
    <t>Cross-Border Positions (Liabilities) - Foreign &amp; Domestic  Currency</t>
  </si>
  <si>
    <t>^ Nonbank includes all entiteis that are not a Deposit Taking Institution ( General Government, Non-Financial Corporations, Households, Non-Bank Financial Corporations, etc.)</t>
  </si>
  <si>
    <r>
      <t xml:space="preserve">Cross-Border Positions (Assets) - Loans </t>
    </r>
    <r>
      <rPr>
        <b/>
        <sz val="11"/>
        <color indexed="8"/>
        <rFont val="Calibri"/>
        <family val="2"/>
      </rPr>
      <t>*</t>
    </r>
  </si>
  <si>
    <t>Cross-Border Positions (Liabilities) - Deposits **</t>
  </si>
  <si>
    <t>Cross-Border Positions (Liabilities) - Own Isssues of Securities</t>
  </si>
  <si>
    <t>*** Other Liabilities include Shareholders equity</t>
  </si>
  <si>
    <r>
      <t xml:space="preserve">Cross-Border Positions (Liabilities) - Other Liabilities </t>
    </r>
    <r>
      <rPr>
        <b/>
        <sz val="11"/>
        <color indexed="8"/>
        <rFont val="Calibri"/>
        <family val="2"/>
      </rPr>
      <t>***</t>
    </r>
  </si>
  <si>
    <r>
      <t xml:space="preserve">Cross-Border Positions (Assets) - Loans </t>
    </r>
    <r>
      <rPr>
        <b/>
        <sz val="11"/>
        <color indexed="62"/>
        <rFont val="Calibri"/>
        <family val="2"/>
      </rPr>
      <t>*</t>
    </r>
  </si>
  <si>
    <t>Developing Asia &amp; Pacific -CHINA</t>
  </si>
  <si>
    <t>2. Domestic/Local Positions (Assets) - Domestic (KYD) Currency</t>
  </si>
  <si>
    <t>Domestic/Local Positions (Assets) - Foreign Currency</t>
  </si>
  <si>
    <t>2. Domestic/Local Positions (Liabilities) - Domestic (KYD) Currency</t>
  </si>
  <si>
    <t>Domestic/Local Positions (Liabilities) - Foreign Currency</t>
  </si>
  <si>
    <t>^^ Prior to 2018 Q2, Cross-Border Positions (Liabilities) - Own Isssues of Securities could not be broken down by geographical region</t>
  </si>
  <si>
    <t>Cross-Border Positions (Liabilities) - Own Isssues of Securities ^^</t>
  </si>
  <si>
    <t>^ Nonbank includes all entities that are not a Deposit Taking Institution (General Government, Non-Financial Corporations, Households, Non-Bank Financial Corporations, etc.)</t>
  </si>
  <si>
    <t>2021Q1</t>
  </si>
  <si>
    <t>2021Q2</t>
  </si>
  <si>
    <t>2021Q3</t>
  </si>
  <si>
    <t>2021Q4</t>
  </si>
  <si>
    <t>2022Q1</t>
  </si>
  <si>
    <t>Updated July 2022</t>
  </si>
  <si>
    <t>2022Q2</t>
  </si>
  <si>
    <t>2022Q3</t>
  </si>
  <si>
    <t>2022Q4</t>
  </si>
  <si>
    <t>Updated April 2023</t>
  </si>
  <si>
    <t>2023Q1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</si>
</sst>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  <numFmt numFmtId="177" formatCode="_(&quot;Sfr.&quot;* #,##0_);_(&quot;Sfr.&quot;* \(#,##0\);_(&quot;Sfr.&quot;* &quot;-&quot;_);_(@_)"/>
    <numFmt numFmtId="178" formatCode="_(&quot;Sfr.&quot;* #,##0.00_);_(&quot;Sfr.&quot;* \(#,##0.00\);_(&quot;Sfr.&quot;* &quot;-&quot;??_);_(@_)"/>
    <numFmt numFmtId="179" formatCode="_(* #,##0_);[Red]_(* \(#,##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_(* #,##0.00000000000_);_(* \(#,##0.00000000000\);_(* &quot;-&quot;??_);_(@_)"/>
    <numFmt numFmtId="189" formatCode="_(* #,##0.000000000000_);_(* \(#,##0.000000000000\);_(* &quot;-&quot;??_);_(@_)"/>
    <numFmt numFmtId="190" formatCode="[$-409]dddd\,\ mmmm\ d\,\ yy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9"/>
      <color indexed="63"/>
      <name val="Arial "/>
      <family val="0"/>
    </font>
    <font>
      <b/>
      <sz val="14"/>
      <color indexed="8"/>
      <name val="Calibri"/>
      <family val="2"/>
    </font>
    <font>
      <i/>
      <sz val="10"/>
      <color indexed="63"/>
      <name val="Arial "/>
      <family val="0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Arial Black"/>
      <family val="2"/>
    </font>
    <font>
      <b/>
      <i/>
      <sz val="10"/>
      <color indexed="8"/>
      <name val="Arial Black"/>
      <family val="2"/>
    </font>
    <font>
      <i/>
      <sz val="11"/>
      <color indexed="8"/>
      <name val="Arial"/>
      <family val="2"/>
    </font>
    <font>
      <b/>
      <sz val="11"/>
      <color indexed="62"/>
      <name val="Calibri"/>
      <family val="2"/>
    </font>
    <font>
      <i/>
      <sz val="10"/>
      <color indexed="8"/>
      <name val="Arial Black"/>
      <family val="2"/>
    </font>
    <font>
      <b/>
      <i/>
      <sz val="11"/>
      <color indexed="8"/>
      <name val="Arial Black"/>
      <family val="2"/>
    </font>
    <font>
      <sz val="11"/>
      <color indexed="8"/>
      <name val="Arial Black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color indexed="62"/>
      <name val="Arial Black"/>
      <family val="2"/>
    </font>
    <font>
      <b/>
      <i/>
      <sz val="11"/>
      <color indexed="62"/>
      <name val="Arial Black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63"/>
      <name val="Tahoma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63"/>
      <name val="Tahoma"/>
      <family val="2"/>
    </font>
    <font>
      <b/>
      <i/>
      <sz val="10"/>
      <color indexed="10"/>
      <name val="Arial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4" tint="-0.24997000396251678"/>
      <name val="Arial Black"/>
      <family val="2"/>
    </font>
    <font>
      <b/>
      <i/>
      <sz val="11"/>
      <color theme="4" tint="-0.24997000396251678"/>
      <name val="Arial Black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i/>
      <sz val="11"/>
      <color theme="1"/>
      <name val="Arial Black"/>
      <family val="2"/>
    </font>
    <font>
      <i/>
      <sz val="10"/>
      <color rgb="FF272727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0.5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0"/>
      <color theme="1"/>
      <name val="Arial Black"/>
      <family val="2"/>
    </font>
    <font>
      <sz val="10"/>
      <color rgb="FF272727"/>
      <name val="Tahoma"/>
      <family val="2"/>
    </font>
    <font>
      <b/>
      <i/>
      <sz val="10"/>
      <color rgb="FFFF0000"/>
      <name val="Arial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6" fillId="0" borderId="0">
      <alignment/>
      <protection/>
    </xf>
    <xf numFmtId="0" fontId="1" fillId="32" borderId="7" applyNumberFormat="0" applyFont="0" applyAlignment="0" applyProtection="0"/>
    <xf numFmtId="0" fontId="72" fillId="27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61" fillId="20" borderId="10" xfId="33" applyFont="1" applyBorder="1" applyAlignment="1">
      <alignment horizontal="center"/>
    </xf>
    <xf numFmtId="0" fontId="61" fillId="20" borderId="0" xfId="33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 wrapText="1"/>
    </xf>
    <xf numFmtId="173" fontId="23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173" fontId="78" fillId="33" borderId="0" xfId="42" applyNumberFormat="1" applyFont="1" applyFill="1" applyAlignment="1">
      <alignment/>
    </xf>
    <xf numFmtId="173" fontId="79" fillId="33" borderId="0" xfId="42" applyNumberFormat="1" applyFont="1" applyFill="1" applyAlignment="1">
      <alignment/>
    </xf>
    <xf numFmtId="0" fontId="80" fillId="33" borderId="0" xfId="0" applyFont="1" applyFill="1" applyAlignment="1">
      <alignment/>
    </xf>
    <xf numFmtId="173" fontId="81" fillId="33" borderId="0" xfId="42" applyNumberFormat="1" applyFont="1" applyFill="1" applyAlignment="1">
      <alignment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81" fillId="33" borderId="0" xfId="0" applyFont="1" applyFill="1" applyAlignment="1">
      <alignment/>
    </xf>
    <xf numFmtId="37" fontId="84" fillId="33" borderId="0" xfId="42" applyNumberFormat="1" applyFont="1" applyFill="1" applyAlignment="1">
      <alignment/>
    </xf>
    <xf numFmtId="0" fontId="85" fillId="33" borderId="0" xfId="0" applyFont="1" applyFill="1" applyAlignment="1">
      <alignment/>
    </xf>
    <xf numFmtId="173" fontId="86" fillId="33" borderId="0" xfId="0" applyNumberFormat="1" applyFont="1" applyFill="1" applyAlignment="1">
      <alignment/>
    </xf>
    <xf numFmtId="173" fontId="18" fillId="33" borderId="0" xfId="42" applyNumberFormat="1" applyFont="1" applyFill="1" applyAlignment="1">
      <alignment/>
    </xf>
    <xf numFmtId="173" fontId="21" fillId="33" borderId="0" xfId="42" applyNumberFormat="1" applyFont="1" applyFill="1" applyAlignment="1">
      <alignment/>
    </xf>
    <xf numFmtId="173" fontId="79" fillId="33" borderId="0" xfId="44" applyNumberFormat="1" applyFont="1" applyFill="1" applyAlignment="1">
      <alignment/>
    </xf>
    <xf numFmtId="3" fontId="87" fillId="33" borderId="0" xfId="0" applyNumberFormat="1" applyFont="1" applyFill="1" applyAlignment="1">
      <alignment/>
    </xf>
    <xf numFmtId="173" fontId="22" fillId="33" borderId="0" xfId="42" applyNumberFormat="1" applyFont="1" applyFill="1" applyAlignment="1">
      <alignment/>
    </xf>
    <xf numFmtId="173" fontId="81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33" applyFont="1" applyFill="1" applyAlignment="1">
      <alignment/>
    </xf>
    <xf numFmtId="0" fontId="61" fillId="33" borderId="10" xfId="33" applyFont="1" applyFill="1" applyBorder="1" applyAlignment="1">
      <alignment horizontal="center"/>
    </xf>
    <xf numFmtId="0" fontId="58" fillId="33" borderId="0" xfId="33" applyFill="1" applyAlignment="1">
      <alignment horizontal="center"/>
    </xf>
    <xf numFmtId="0" fontId="61" fillId="33" borderId="0" xfId="33" applyFont="1" applyFill="1" applyAlignment="1">
      <alignment horizontal="center"/>
    </xf>
    <xf numFmtId="173" fontId="7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173" fontId="0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173" fontId="88" fillId="33" borderId="0" xfId="42" applyNumberFormat="1" applyFont="1" applyFill="1" applyAlignment="1">
      <alignment/>
    </xf>
    <xf numFmtId="173" fontId="89" fillId="33" borderId="0" xfId="42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37" fontId="78" fillId="33" borderId="0" xfId="42" applyNumberFormat="1" applyFont="1" applyFill="1" applyAlignment="1">
      <alignment/>
    </xf>
    <xf numFmtId="37" fontId="88" fillId="33" borderId="0" xfId="42" applyNumberFormat="1" applyFont="1" applyFill="1" applyAlignment="1">
      <alignment/>
    </xf>
    <xf numFmtId="37" fontId="8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173" fontId="74" fillId="33" borderId="0" xfId="0" applyNumberFormat="1" applyFont="1" applyFill="1" applyAlignment="1">
      <alignment/>
    </xf>
    <xf numFmtId="0" fontId="88" fillId="33" borderId="0" xfId="0" applyFont="1" applyFill="1" applyAlignment="1">
      <alignment/>
    </xf>
    <xf numFmtId="0" fontId="15" fillId="33" borderId="0" xfId="0" applyFont="1" applyFill="1" applyAlignment="1">
      <alignment/>
    </xf>
    <xf numFmtId="37" fontId="89" fillId="33" borderId="0" xfId="42" applyNumberFormat="1" applyFont="1" applyFill="1" applyAlignment="1">
      <alignment/>
    </xf>
    <xf numFmtId="37" fontId="74" fillId="33" borderId="0" xfId="42" applyNumberFormat="1" applyFont="1" applyFill="1" applyAlignment="1">
      <alignment/>
    </xf>
    <xf numFmtId="37" fontId="0" fillId="33" borderId="0" xfId="42" applyNumberFormat="1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19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Alignment="1">
      <alignment vertical="center"/>
    </xf>
    <xf numFmtId="0" fontId="92" fillId="33" borderId="0" xfId="0" applyFont="1" applyFill="1" applyAlignment="1">
      <alignment/>
    </xf>
    <xf numFmtId="0" fontId="93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173" fontId="94" fillId="33" borderId="0" xfId="44" applyNumberFormat="1" applyFont="1" applyFill="1" applyAlignment="1">
      <alignment horizontal="right"/>
    </xf>
    <xf numFmtId="173" fontId="0" fillId="33" borderId="0" xfId="44" applyNumberFormat="1" applyFont="1" applyFill="1" applyAlignment="1">
      <alignment horizontal="right"/>
    </xf>
    <xf numFmtId="173" fontId="95" fillId="33" borderId="0" xfId="44" applyNumberFormat="1" applyFont="1" applyFill="1" applyAlignment="1">
      <alignment horizontal="right"/>
    </xf>
    <xf numFmtId="173" fontId="88" fillId="33" borderId="0" xfId="44" applyNumberFormat="1" applyFont="1" applyFill="1" applyAlignment="1">
      <alignment horizontal="right"/>
    </xf>
    <xf numFmtId="173" fontId="96" fillId="33" borderId="0" xfId="44" applyNumberFormat="1" applyFont="1" applyFill="1" applyAlignment="1">
      <alignment horizontal="right"/>
    </xf>
    <xf numFmtId="173" fontId="74" fillId="33" borderId="0" xfId="44" applyNumberFormat="1" applyFont="1" applyFill="1" applyAlignment="1">
      <alignment horizontal="right"/>
    </xf>
    <xf numFmtId="0" fontId="0" fillId="33" borderId="0" xfId="0" applyFill="1" applyAlignment="1">
      <alignment vertical="center"/>
    </xf>
    <xf numFmtId="173" fontId="78" fillId="33" borderId="0" xfId="44" applyNumberFormat="1" applyFont="1" applyFill="1" applyAlignment="1">
      <alignment/>
    </xf>
    <xf numFmtId="173" fontId="18" fillId="33" borderId="0" xfId="44" applyNumberFormat="1" applyFont="1" applyFill="1" applyAlignment="1">
      <alignment/>
    </xf>
    <xf numFmtId="173" fontId="24" fillId="33" borderId="0" xfId="44" applyNumberFormat="1" applyFont="1" applyFill="1" applyAlignment="1">
      <alignment/>
    </xf>
    <xf numFmtId="3" fontId="79" fillId="33" borderId="0" xfId="44" applyNumberFormat="1" applyFont="1" applyFill="1" applyAlignment="1">
      <alignment/>
    </xf>
    <xf numFmtId="37" fontId="79" fillId="33" borderId="0" xfId="44" applyNumberFormat="1" applyFont="1" applyFill="1" applyAlignment="1">
      <alignment/>
    </xf>
    <xf numFmtId="3" fontId="18" fillId="33" borderId="0" xfId="44" applyNumberFormat="1" applyFont="1" applyFill="1" applyAlignment="1">
      <alignment/>
    </xf>
    <xf numFmtId="3" fontId="97" fillId="33" borderId="0" xfId="0" applyNumberFormat="1" applyFont="1" applyFill="1" applyAlignment="1">
      <alignment/>
    </xf>
    <xf numFmtId="3" fontId="79" fillId="33" borderId="0" xfId="42" applyNumberFormat="1" applyFont="1" applyFill="1" applyAlignment="1">
      <alignment/>
    </xf>
    <xf numFmtId="37" fontId="79" fillId="33" borderId="0" xfId="42" applyNumberFormat="1" applyFont="1" applyFill="1" applyAlignment="1">
      <alignment/>
    </xf>
    <xf numFmtId="173" fontId="98" fillId="33" borderId="0" xfId="42" applyNumberFormat="1" applyFont="1" applyFill="1" applyAlignment="1">
      <alignment/>
    </xf>
    <xf numFmtId="3" fontId="18" fillId="33" borderId="0" xfId="42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3" fillId="33" borderId="0" xfId="0" applyFont="1" applyFill="1" applyAlignment="1">
      <alignment horizontal="left" wrapText="1"/>
    </xf>
    <xf numFmtId="0" fontId="10" fillId="33" borderId="0" xfId="33" applyFont="1" applyFill="1" applyAlignment="1">
      <alignment horizontal="center"/>
    </xf>
    <xf numFmtId="0" fontId="99" fillId="20" borderId="0" xfId="33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0</xdr:col>
      <xdr:colOff>1428750</xdr:colOff>
      <xdr:row>5</xdr:row>
      <xdr:rowOff>171450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0</xdr:col>
      <xdr:colOff>1485900</xdr:colOff>
      <xdr:row>5</xdr:row>
      <xdr:rowOff>0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0</xdr:col>
      <xdr:colOff>1352550</xdr:colOff>
      <xdr:row>4</xdr:row>
      <xdr:rowOff>47625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990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</xdr:row>
      <xdr:rowOff>0</xdr:rowOff>
    </xdr:from>
    <xdr:to>
      <xdr:col>0</xdr:col>
      <xdr:colOff>1476375</xdr:colOff>
      <xdr:row>6</xdr:row>
      <xdr:rowOff>0</xdr:rowOff>
    </xdr:to>
    <xdr:pic>
      <xdr:nvPicPr>
        <xdr:cNvPr id="2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0</xdr:rowOff>
    </xdr:from>
    <xdr:to>
      <xdr:col>0</xdr:col>
      <xdr:colOff>1343025</xdr:colOff>
      <xdr:row>4</xdr:row>
      <xdr:rowOff>47625</xdr:rowOff>
    </xdr:to>
    <xdr:pic>
      <xdr:nvPicPr>
        <xdr:cNvPr id="1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</xdr:row>
      <xdr:rowOff>0</xdr:rowOff>
    </xdr:from>
    <xdr:to>
      <xdr:col>0</xdr:col>
      <xdr:colOff>1466850</xdr:colOff>
      <xdr:row>6</xdr:row>
      <xdr:rowOff>0</xdr:rowOff>
    </xdr:to>
    <xdr:pic>
      <xdr:nvPicPr>
        <xdr:cNvPr id="2" name="Picture 1" descr="L:\Managing Director\Joan\Collateral material\CIMA Logo blue and gold\CI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89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1" sqref="A1:IV16384"/>
    </sheetView>
  </sheetViews>
  <sheetFormatPr defaultColWidth="9.140625" defaultRowHeight="15" customHeight="1"/>
  <cols>
    <col min="1" max="1" width="69.421875" style="3" customWidth="1"/>
    <col min="2" max="2" width="1.57421875" style="3" customWidth="1"/>
    <col min="3" max="5" width="10.7109375" style="3" customWidth="1"/>
    <col min="6" max="6" width="2.7109375" style="3" customWidth="1"/>
    <col min="7" max="9" width="10.7109375" style="3" customWidth="1"/>
    <col min="10" max="10" width="2.7109375" style="3" customWidth="1"/>
    <col min="11" max="13" width="10.7109375" style="3" customWidth="1"/>
    <col min="14" max="14" width="2.7109375" style="3" customWidth="1"/>
    <col min="15" max="17" width="10.7109375" style="3" customWidth="1"/>
    <col min="18" max="18" width="2.7109375" style="3" customWidth="1"/>
    <col min="19" max="21" width="10.7109375" style="3" customWidth="1"/>
    <col min="22" max="22" width="2.7109375" style="3" customWidth="1"/>
    <col min="23" max="25" width="10.7109375" style="3" hidden="1" customWidth="1"/>
    <col min="26" max="16384" width="9.140625" style="3" customWidth="1"/>
  </cols>
  <sheetData>
    <row r="4" spans="2:7" ht="15" customHeight="1">
      <c r="B4" s="91"/>
      <c r="C4" s="91"/>
      <c r="D4" s="91"/>
      <c r="E4" s="91"/>
      <c r="F4" s="91"/>
      <c r="G4" s="91"/>
    </row>
    <row r="5" spans="2:21" ht="15" customHeight="1">
      <c r="B5" s="92" t="s">
        <v>10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2:21" ht="15" customHeight="1">
      <c r="B6" s="93" t="s">
        <v>17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8" spans="1:25" ht="15" customHeight="1">
      <c r="A8" s="4"/>
      <c r="B8" s="38"/>
      <c r="C8" s="89">
        <v>2007</v>
      </c>
      <c r="D8" s="89"/>
      <c r="E8" s="89"/>
      <c r="F8" s="38"/>
      <c r="G8" s="89">
        <v>2008</v>
      </c>
      <c r="H8" s="89"/>
      <c r="I8" s="89"/>
      <c r="K8" s="89">
        <v>2009</v>
      </c>
      <c r="L8" s="89"/>
      <c r="M8" s="89"/>
      <c r="O8" s="89">
        <v>2010</v>
      </c>
      <c r="P8" s="89"/>
      <c r="Q8" s="89"/>
      <c r="S8" s="89">
        <v>2011</v>
      </c>
      <c r="T8" s="89"/>
      <c r="U8" s="89"/>
      <c r="W8" s="87" t="s">
        <v>20</v>
      </c>
      <c r="X8" s="87"/>
      <c r="Y8" s="87"/>
    </row>
    <row r="9" spans="2:25" ht="15" customHeight="1" thickBot="1">
      <c r="B9" s="39"/>
      <c r="C9" s="1" t="s">
        <v>5</v>
      </c>
      <c r="D9" s="1" t="s">
        <v>8</v>
      </c>
      <c r="E9" s="1" t="s">
        <v>7</v>
      </c>
      <c r="F9" s="41"/>
      <c r="G9" s="1" t="s">
        <v>5</v>
      </c>
      <c r="H9" s="1" t="s">
        <v>8</v>
      </c>
      <c r="I9" s="1" t="s">
        <v>7</v>
      </c>
      <c r="K9" s="1" t="s">
        <v>5</v>
      </c>
      <c r="L9" s="1" t="s">
        <v>8</v>
      </c>
      <c r="M9" s="1" t="s">
        <v>7</v>
      </c>
      <c r="O9" s="1" t="s">
        <v>5</v>
      </c>
      <c r="P9" s="1" t="s">
        <v>8</v>
      </c>
      <c r="Q9" s="1" t="s">
        <v>7</v>
      </c>
      <c r="S9" s="2" t="s">
        <v>5</v>
      </c>
      <c r="T9" s="1" t="s">
        <v>8</v>
      </c>
      <c r="U9" s="1" t="s">
        <v>7</v>
      </c>
      <c r="W9" s="42" t="s">
        <v>5</v>
      </c>
      <c r="X9" s="40" t="s">
        <v>8</v>
      </c>
      <c r="Y9" s="40" t="s">
        <v>7</v>
      </c>
    </row>
    <row r="10" spans="1:25" ht="18" customHeight="1" thickTop="1">
      <c r="A10" s="6" t="s">
        <v>11</v>
      </c>
      <c r="B10" s="26"/>
      <c r="C10" s="43">
        <v>1911917</v>
      </c>
      <c r="D10" s="43">
        <f>1911917-517451</f>
        <v>1394466</v>
      </c>
      <c r="E10" s="43">
        <f>C10-D10</f>
        <v>517451</v>
      </c>
      <c r="F10" s="44"/>
      <c r="G10" s="43">
        <v>1826091</v>
      </c>
      <c r="H10" s="43">
        <f>1826091-516458</f>
        <v>1309633</v>
      </c>
      <c r="I10" s="43">
        <f>G10-H10</f>
        <v>516458</v>
      </c>
      <c r="K10" s="43">
        <v>1777290</v>
      </c>
      <c r="L10" s="43">
        <f>1777290-464071</f>
        <v>1313219</v>
      </c>
      <c r="M10" s="43">
        <f>464044+27</f>
        <v>464071</v>
      </c>
      <c r="O10" s="43">
        <v>1782762</v>
      </c>
      <c r="P10" s="43">
        <f>O10-Q10</f>
        <v>1338648</v>
      </c>
      <c r="Q10" s="43">
        <v>444114</v>
      </c>
      <c r="S10" s="43">
        <v>1570434</v>
      </c>
      <c r="T10" s="43">
        <f>S10-U10</f>
        <v>1167405</v>
      </c>
      <c r="U10" s="43">
        <v>403029</v>
      </c>
      <c r="W10" s="43">
        <v>1472820</v>
      </c>
      <c r="X10" s="43">
        <f>W10-Y10</f>
        <v>1166686</v>
      </c>
      <c r="Y10" s="43">
        <v>306134</v>
      </c>
    </row>
    <row r="11" spans="1:25" ht="15" customHeight="1">
      <c r="A11" s="9" t="s">
        <v>28</v>
      </c>
      <c r="B11" s="26"/>
      <c r="C11" s="19">
        <v>38268</v>
      </c>
      <c r="D11" s="19">
        <f>38268-20559</f>
        <v>17709</v>
      </c>
      <c r="E11" s="19">
        <f aca="true" t="shared" si="0" ref="E11:E45">C11-D11</f>
        <v>20559</v>
      </c>
      <c r="F11" s="44"/>
      <c r="G11" s="19">
        <v>26927</v>
      </c>
      <c r="H11" s="19">
        <f>26927-13764</f>
        <v>13163</v>
      </c>
      <c r="I11" s="19">
        <f>G11-H11</f>
        <v>13764</v>
      </c>
      <c r="K11" s="19">
        <v>21422</v>
      </c>
      <c r="L11" s="19">
        <f>21422-11637</f>
        <v>9785</v>
      </c>
      <c r="M11" s="19">
        <v>11637</v>
      </c>
      <c r="O11" s="19">
        <v>21101</v>
      </c>
      <c r="P11" s="19">
        <f>O11-Q11</f>
        <v>9974</v>
      </c>
      <c r="Q11" s="19">
        <v>11127</v>
      </c>
      <c r="S11" s="19">
        <v>26699</v>
      </c>
      <c r="T11" s="19">
        <f>S11-U11</f>
        <v>14120</v>
      </c>
      <c r="U11" s="19">
        <v>12579</v>
      </c>
      <c r="W11" s="19">
        <v>29811</v>
      </c>
      <c r="X11" s="45">
        <f aca="true" t="shared" si="1" ref="X11:X46">W11-Y11</f>
        <v>16801</v>
      </c>
      <c r="Y11" s="19">
        <v>13010</v>
      </c>
    </row>
    <row r="12" spans="1:25" ht="15" customHeight="1">
      <c r="A12" s="9" t="s">
        <v>22</v>
      </c>
      <c r="B12" s="26"/>
      <c r="C12" s="19">
        <f>C10-C11</f>
        <v>1873649</v>
      </c>
      <c r="D12" s="19">
        <f>D10-D11</f>
        <v>1376757</v>
      </c>
      <c r="E12" s="19">
        <f t="shared" si="0"/>
        <v>496892</v>
      </c>
      <c r="F12" s="9"/>
      <c r="G12" s="19">
        <f>G10-G11</f>
        <v>1799164</v>
      </c>
      <c r="H12" s="19">
        <f>H10-H11</f>
        <v>1296470</v>
      </c>
      <c r="I12" s="19">
        <f>G12-H12</f>
        <v>502694</v>
      </c>
      <c r="K12" s="19">
        <v>1755868</v>
      </c>
      <c r="L12" s="19">
        <f>1755868-452434</f>
        <v>1303434</v>
      </c>
      <c r="M12" s="19">
        <f>452407+27</f>
        <v>452434</v>
      </c>
      <c r="O12" s="19">
        <v>1761661</v>
      </c>
      <c r="P12" s="19">
        <f>O12-Q12</f>
        <v>1328674</v>
      </c>
      <c r="Q12" s="19">
        <v>432987</v>
      </c>
      <c r="S12" s="19">
        <v>1543735</v>
      </c>
      <c r="T12" s="19">
        <f>S12-U12</f>
        <v>1153285</v>
      </c>
      <c r="U12" s="19">
        <v>390450</v>
      </c>
      <c r="W12" s="19">
        <v>1443009</v>
      </c>
      <c r="X12" s="45">
        <f t="shared" si="1"/>
        <v>1149885</v>
      </c>
      <c r="Y12" s="19">
        <v>293124</v>
      </c>
    </row>
    <row r="13" spans="1:24" ht="15" customHeight="1">
      <c r="A13" s="9"/>
      <c r="B13" s="26"/>
      <c r="C13" s="19"/>
      <c r="D13" s="19"/>
      <c r="E13" s="19"/>
      <c r="F13" s="9"/>
      <c r="G13" s="19"/>
      <c r="H13" s="19"/>
      <c r="I13" s="19"/>
      <c r="K13" s="19"/>
      <c r="L13" s="19"/>
      <c r="M13" s="19"/>
      <c r="O13" s="19"/>
      <c r="P13" s="19"/>
      <c r="Q13" s="19"/>
      <c r="X13" s="45">
        <f t="shared" si="1"/>
        <v>0</v>
      </c>
    </row>
    <row r="14" spans="1:25" ht="18" customHeight="1">
      <c r="A14" s="6" t="s">
        <v>23</v>
      </c>
      <c r="B14" s="26"/>
      <c r="C14" s="43">
        <v>38268</v>
      </c>
      <c r="D14" s="43">
        <f>38268-20559</f>
        <v>17709</v>
      </c>
      <c r="E14" s="43">
        <f>C14-D14</f>
        <v>20559</v>
      </c>
      <c r="F14" s="44"/>
      <c r="G14" s="43">
        <v>26927</v>
      </c>
      <c r="H14" s="43">
        <f>26927-13764</f>
        <v>13163</v>
      </c>
      <c r="I14" s="43">
        <f>G14-H14</f>
        <v>13764</v>
      </c>
      <c r="J14" s="26"/>
      <c r="K14" s="43">
        <v>21422</v>
      </c>
      <c r="L14" s="43">
        <f>21422-11637</f>
        <v>9785</v>
      </c>
      <c r="M14" s="43">
        <v>11637</v>
      </c>
      <c r="N14" s="26"/>
      <c r="O14" s="43">
        <v>21101</v>
      </c>
      <c r="P14" s="43">
        <f>O14-Q14</f>
        <v>9974</v>
      </c>
      <c r="Q14" s="43">
        <v>11127</v>
      </c>
      <c r="R14" s="26"/>
      <c r="S14" s="43">
        <v>26699</v>
      </c>
      <c r="T14" s="43">
        <f>S14-U14</f>
        <v>14120</v>
      </c>
      <c r="U14" s="43">
        <v>12579</v>
      </c>
      <c r="W14" s="43">
        <v>29811</v>
      </c>
      <c r="X14" s="43">
        <f t="shared" si="1"/>
        <v>16801</v>
      </c>
      <c r="Y14" s="43">
        <v>13010</v>
      </c>
    </row>
    <row r="15" spans="1:25" s="24" customFormat="1" ht="15" customHeight="1">
      <c r="A15" s="10" t="s">
        <v>24</v>
      </c>
      <c r="C15" s="19">
        <v>27913</v>
      </c>
      <c r="D15" s="19">
        <f>C15-E15</f>
        <v>16135</v>
      </c>
      <c r="E15" s="19">
        <v>11778</v>
      </c>
      <c r="F15" s="10"/>
      <c r="G15" s="19">
        <v>17859</v>
      </c>
      <c r="H15" s="19">
        <f>G15-I15</f>
        <v>10978</v>
      </c>
      <c r="I15" s="19">
        <v>6881</v>
      </c>
      <c r="K15" s="19">
        <v>14543</v>
      </c>
      <c r="L15" s="19">
        <v>7907</v>
      </c>
      <c r="M15" s="19">
        <v>6636</v>
      </c>
      <c r="N15" s="28"/>
      <c r="O15" s="19">
        <v>12541</v>
      </c>
      <c r="P15" s="19">
        <f>O15-Q15</f>
        <v>6091</v>
      </c>
      <c r="Q15" s="19">
        <v>6450</v>
      </c>
      <c r="S15" s="22">
        <v>15351</v>
      </c>
      <c r="T15" s="22">
        <f>S15-U15</f>
        <v>7374</v>
      </c>
      <c r="U15" s="22">
        <v>7977</v>
      </c>
      <c r="W15" s="22">
        <v>17318</v>
      </c>
      <c r="X15" s="22">
        <f t="shared" si="1"/>
        <v>8543</v>
      </c>
      <c r="Y15" s="22">
        <v>8775</v>
      </c>
    </row>
    <row r="16" spans="1:25" s="24" customFormat="1" ht="15" customHeight="1">
      <c r="A16" s="10" t="s">
        <v>25</v>
      </c>
      <c r="C16" s="19">
        <v>6129</v>
      </c>
      <c r="D16" s="19">
        <f>C16-E16</f>
        <v>918</v>
      </c>
      <c r="E16" s="19">
        <v>5211</v>
      </c>
      <c r="F16" s="10"/>
      <c r="G16" s="19">
        <v>3663</v>
      </c>
      <c r="H16" s="19">
        <f>G16-I16</f>
        <v>623</v>
      </c>
      <c r="I16" s="19">
        <v>3040</v>
      </c>
      <c r="K16" s="19">
        <v>2806</v>
      </c>
      <c r="L16" s="19">
        <f>K16-M16</f>
        <v>391</v>
      </c>
      <c r="M16" s="19">
        <v>2415</v>
      </c>
      <c r="N16" s="28"/>
      <c r="O16" s="19">
        <v>6068</v>
      </c>
      <c r="P16" s="19">
        <f>O16-Q16</f>
        <v>2783</v>
      </c>
      <c r="Q16" s="19">
        <v>3285</v>
      </c>
      <c r="S16" s="22">
        <v>10004</v>
      </c>
      <c r="T16" s="22">
        <f>S16-U16</f>
        <v>5880</v>
      </c>
      <c r="U16" s="22">
        <v>4124</v>
      </c>
      <c r="W16" s="22">
        <v>11363</v>
      </c>
      <c r="X16" s="22">
        <f t="shared" si="1"/>
        <v>7582</v>
      </c>
      <c r="Y16" s="22">
        <v>3781</v>
      </c>
    </row>
    <row r="17" spans="1:25" s="24" customFormat="1" ht="15" customHeight="1">
      <c r="A17" s="10" t="s">
        <v>26</v>
      </c>
      <c r="C17" s="19">
        <v>4226</v>
      </c>
      <c r="D17" s="19">
        <f>C17-E17</f>
        <v>656</v>
      </c>
      <c r="E17" s="19">
        <v>3570</v>
      </c>
      <c r="F17" s="10"/>
      <c r="G17" s="19">
        <v>5405</v>
      </c>
      <c r="H17" s="19">
        <f>G17-I17</f>
        <v>1562</v>
      </c>
      <c r="I17" s="19">
        <v>3843</v>
      </c>
      <c r="K17" s="19">
        <v>4073</v>
      </c>
      <c r="L17" s="19">
        <f>K17-M17</f>
        <v>1487</v>
      </c>
      <c r="M17" s="19">
        <v>2586</v>
      </c>
      <c r="N17" s="28"/>
      <c r="O17" s="19">
        <v>2492</v>
      </c>
      <c r="P17" s="19">
        <f>O17-Q17</f>
        <v>1100</v>
      </c>
      <c r="Q17" s="19">
        <v>1392</v>
      </c>
      <c r="S17" s="22">
        <v>1344</v>
      </c>
      <c r="T17" s="22">
        <f>S17-U17</f>
        <v>866</v>
      </c>
      <c r="U17" s="22">
        <v>478</v>
      </c>
      <c r="W17" s="22">
        <v>1130</v>
      </c>
      <c r="X17" s="22">
        <f t="shared" si="1"/>
        <v>676</v>
      </c>
      <c r="Y17" s="22">
        <v>454</v>
      </c>
    </row>
    <row r="18" spans="1:24" s="26" customFormat="1" ht="15" customHeight="1">
      <c r="A18" s="46"/>
      <c r="C18" s="47"/>
      <c r="D18" s="47"/>
      <c r="E18" s="47"/>
      <c r="F18" s="44"/>
      <c r="G18" s="47"/>
      <c r="H18" s="47"/>
      <c r="I18" s="47"/>
      <c r="K18" s="47"/>
      <c r="L18" s="47"/>
      <c r="M18" s="47"/>
      <c r="N18" s="3"/>
      <c r="O18" s="47"/>
      <c r="P18" s="47"/>
      <c r="Q18" s="47"/>
      <c r="X18" s="45">
        <f t="shared" si="1"/>
        <v>0</v>
      </c>
    </row>
    <row r="19" spans="1:25" ht="18" customHeight="1">
      <c r="A19" s="6" t="s">
        <v>29</v>
      </c>
      <c r="B19" s="26"/>
      <c r="C19" s="43">
        <v>1873649</v>
      </c>
      <c r="D19" s="43">
        <v>1376757</v>
      </c>
      <c r="E19" s="43">
        <v>496892</v>
      </c>
      <c r="F19" s="44"/>
      <c r="G19" s="43">
        <v>1799164</v>
      </c>
      <c r="H19" s="43">
        <v>1296470</v>
      </c>
      <c r="I19" s="43">
        <v>502694</v>
      </c>
      <c r="J19" s="26"/>
      <c r="K19" s="43">
        <v>1755868</v>
      </c>
      <c r="L19" s="43">
        <v>1303434</v>
      </c>
      <c r="M19" s="43">
        <f>452407+27</f>
        <v>452434</v>
      </c>
      <c r="N19" s="26"/>
      <c r="O19" s="43">
        <v>1761661</v>
      </c>
      <c r="P19" s="43">
        <v>1328674</v>
      </c>
      <c r="Q19" s="43">
        <v>432987</v>
      </c>
      <c r="R19" s="26"/>
      <c r="S19" s="43">
        <v>1543735</v>
      </c>
      <c r="T19" s="43">
        <f>S19-U19</f>
        <v>1153285</v>
      </c>
      <c r="U19" s="43">
        <v>390450</v>
      </c>
      <c r="W19" s="43">
        <v>1443009</v>
      </c>
      <c r="X19" s="43">
        <f t="shared" si="1"/>
        <v>1149885</v>
      </c>
      <c r="Y19" s="43">
        <v>293124</v>
      </c>
    </row>
    <row r="20" spans="1:24" ht="15" customHeight="1">
      <c r="A20" s="11"/>
      <c r="B20" s="26"/>
      <c r="C20" s="48"/>
      <c r="D20" s="48"/>
      <c r="E20" s="48"/>
      <c r="F20" s="44"/>
      <c r="G20" s="48"/>
      <c r="H20" s="48"/>
      <c r="I20" s="48"/>
      <c r="J20" s="26"/>
      <c r="K20" s="48"/>
      <c r="L20" s="48"/>
      <c r="M20" s="48"/>
      <c r="N20" s="26"/>
      <c r="O20" s="48"/>
      <c r="P20" s="48"/>
      <c r="Q20" s="48"/>
      <c r="R20" s="26"/>
      <c r="X20" s="45">
        <f t="shared" si="1"/>
        <v>0</v>
      </c>
    </row>
    <row r="21" spans="1:25" ht="18" customHeight="1">
      <c r="A21" s="6" t="s">
        <v>27</v>
      </c>
      <c r="B21" s="26"/>
      <c r="C21" s="43">
        <f>1701041-27913</f>
        <v>1673128</v>
      </c>
      <c r="D21" s="43">
        <f>C21-E21</f>
        <v>1294792</v>
      </c>
      <c r="E21" s="43">
        <v>378336</v>
      </c>
      <c r="F21" s="44"/>
      <c r="G21" s="43">
        <f>1579128-17859</f>
        <v>1561269</v>
      </c>
      <c r="H21" s="43">
        <f>1561269-405915</f>
        <v>1155354</v>
      </c>
      <c r="I21" s="43">
        <v>405915</v>
      </c>
      <c r="K21" s="43">
        <v>1587678</v>
      </c>
      <c r="L21" s="43">
        <f aca="true" t="shared" si="2" ref="L21:L27">K21-M21</f>
        <v>1215768</v>
      </c>
      <c r="M21" s="43">
        <f>371883+27</f>
        <v>371910</v>
      </c>
      <c r="O21" s="43">
        <v>1620159</v>
      </c>
      <c r="P21" s="43">
        <v>1273362</v>
      </c>
      <c r="Q21" s="43">
        <f>353247+105-6450-105</f>
        <v>346797</v>
      </c>
      <c r="S21" s="43">
        <v>1386513</v>
      </c>
      <c r="T21" s="43">
        <f>S21-U21</f>
        <v>1078280</v>
      </c>
      <c r="U21" s="43">
        <v>308233</v>
      </c>
      <c r="W21" s="43">
        <v>1285816</v>
      </c>
      <c r="X21" s="43">
        <f t="shared" si="1"/>
        <v>1074354</v>
      </c>
      <c r="Y21" s="43">
        <v>211462</v>
      </c>
    </row>
    <row r="22" spans="1:25" s="28" customFormat="1" ht="15" customHeight="1">
      <c r="A22" s="10" t="s">
        <v>4</v>
      </c>
      <c r="B22" s="24"/>
      <c r="C22" s="19">
        <v>1602685</v>
      </c>
      <c r="D22" s="19">
        <f>1602685-346122</f>
        <v>1256563</v>
      </c>
      <c r="E22" s="19">
        <f t="shared" si="0"/>
        <v>346122</v>
      </c>
      <c r="F22" s="10"/>
      <c r="G22" s="19">
        <v>1481553</v>
      </c>
      <c r="H22" s="19">
        <f>1481553-367268</f>
        <v>1114285</v>
      </c>
      <c r="I22" s="19">
        <f>G22-H22</f>
        <v>367268</v>
      </c>
      <c r="K22" s="19">
        <v>1500951</v>
      </c>
      <c r="L22" s="19">
        <f t="shared" si="2"/>
        <v>1168204</v>
      </c>
      <c r="M22" s="19">
        <v>332747</v>
      </c>
      <c r="O22" s="19">
        <v>1534197</v>
      </c>
      <c r="P22" s="19">
        <f aca="true" t="shared" si="3" ref="P22:P27">O22-Q22</f>
        <v>1226974</v>
      </c>
      <c r="Q22" s="19">
        <v>307223</v>
      </c>
      <c r="S22" s="22">
        <v>1298269</v>
      </c>
      <c r="T22" s="37">
        <f>S22-U22</f>
        <v>1030432</v>
      </c>
      <c r="U22" s="37">
        <v>267837</v>
      </c>
      <c r="W22" s="22">
        <v>1198885</v>
      </c>
      <c r="X22" s="22">
        <f t="shared" si="1"/>
        <v>1028122</v>
      </c>
      <c r="Y22" s="37">
        <v>170763</v>
      </c>
    </row>
    <row r="23" spans="1:25" s="24" customFormat="1" ht="15" customHeight="1">
      <c r="A23" s="49" t="s">
        <v>0</v>
      </c>
      <c r="C23" s="19">
        <v>24236</v>
      </c>
      <c r="D23" s="19">
        <f>24236-7659</f>
        <v>16577</v>
      </c>
      <c r="E23" s="19">
        <f t="shared" si="0"/>
        <v>7659</v>
      </c>
      <c r="F23" s="10"/>
      <c r="G23" s="19">
        <v>26892</v>
      </c>
      <c r="H23" s="19">
        <f>G23-7111</f>
        <v>19781</v>
      </c>
      <c r="I23" s="19">
        <v>7111</v>
      </c>
      <c r="K23" s="19">
        <v>35322</v>
      </c>
      <c r="L23" s="19">
        <f t="shared" si="2"/>
        <v>29053</v>
      </c>
      <c r="M23" s="19">
        <v>6269</v>
      </c>
      <c r="N23" s="28"/>
      <c r="O23" s="19">
        <v>25558</v>
      </c>
      <c r="P23" s="19">
        <f t="shared" si="3"/>
        <v>20348</v>
      </c>
      <c r="Q23" s="19">
        <v>5210</v>
      </c>
      <c r="S23" s="37">
        <v>24177</v>
      </c>
      <c r="T23" s="37">
        <f aca="true" t="shared" si="4" ref="T23:T28">S23-U23</f>
        <v>19356</v>
      </c>
      <c r="U23" s="37">
        <v>4821</v>
      </c>
      <c r="W23" s="37">
        <v>23371</v>
      </c>
      <c r="X23" s="22">
        <f t="shared" si="1"/>
        <v>18187</v>
      </c>
      <c r="Y23" s="37">
        <v>5184</v>
      </c>
    </row>
    <row r="24" spans="1:25" s="24" customFormat="1" ht="15" customHeight="1">
      <c r="A24" s="49" t="s">
        <v>9</v>
      </c>
      <c r="C24" s="19">
        <v>970</v>
      </c>
      <c r="D24" s="19">
        <f>970-199</f>
        <v>771</v>
      </c>
      <c r="E24" s="19">
        <f t="shared" si="0"/>
        <v>199</v>
      </c>
      <c r="F24" s="10"/>
      <c r="G24" s="19">
        <v>404</v>
      </c>
      <c r="H24" s="19">
        <f>404-98</f>
        <v>306</v>
      </c>
      <c r="I24" s="19">
        <v>98</v>
      </c>
      <c r="K24" s="19">
        <v>881</v>
      </c>
      <c r="L24" s="19">
        <f t="shared" si="2"/>
        <v>392</v>
      </c>
      <c r="M24" s="19">
        <v>489</v>
      </c>
      <c r="N24" s="28"/>
      <c r="O24" s="19">
        <v>285</v>
      </c>
      <c r="P24" s="19">
        <f t="shared" si="3"/>
        <v>214</v>
      </c>
      <c r="Q24" s="19">
        <v>71</v>
      </c>
      <c r="S24" s="37">
        <v>290</v>
      </c>
      <c r="T24" s="37">
        <f t="shared" si="4"/>
        <v>236</v>
      </c>
      <c r="U24" s="37">
        <v>54</v>
      </c>
      <c r="W24" s="37">
        <v>215</v>
      </c>
      <c r="X24" s="22">
        <f t="shared" si="1"/>
        <v>154</v>
      </c>
      <c r="Y24" s="37">
        <v>61</v>
      </c>
    </row>
    <row r="25" spans="1:25" s="24" customFormat="1" ht="15" customHeight="1">
      <c r="A25" s="49" t="s">
        <v>2</v>
      </c>
      <c r="C25" s="19">
        <v>35824</v>
      </c>
      <c r="D25" s="19">
        <f>35824-20408</f>
        <v>15416</v>
      </c>
      <c r="E25" s="19">
        <f t="shared" si="0"/>
        <v>20408</v>
      </c>
      <c r="F25" s="10"/>
      <c r="G25" s="19">
        <v>41768</v>
      </c>
      <c r="H25" s="19">
        <f>41768-24627</f>
        <v>17141</v>
      </c>
      <c r="I25" s="19">
        <v>24627</v>
      </c>
      <c r="K25" s="19">
        <v>39139</v>
      </c>
      <c r="L25" s="19">
        <f t="shared" si="2"/>
        <v>14010</v>
      </c>
      <c r="M25" s="19">
        <v>25129</v>
      </c>
      <c r="N25" s="28"/>
      <c r="O25" s="19">
        <v>47311</v>
      </c>
      <c r="P25" s="19">
        <f t="shared" si="3"/>
        <v>20622</v>
      </c>
      <c r="Q25" s="19">
        <v>26689</v>
      </c>
      <c r="S25" s="37">
        <v>50458</v>
      </c>
      <c r="T25" s="37">
        <f t="shared" si="4"/>
        <v>22195</v>
      </c>
      <c r="U25" s="37">
        <v>28263</v>
      </c>
      <c r="W25" s="37">
        <v>49961</v>
      </c>
      <c r="X25" s="22">
        <f t="shared" si="1"/>
        <v>22155</v>
      </c>
      <c r="Y25" s="37">
        <v>27806</v>
      </c>
    </row>
    <row r="26" spans="1:25" s="24" customFormat="1" ht="15" customHeight="1">
      <c r="A26" s="49" t="s">
        <v>3</v>
      </c>
      <c r="C26" s="19">
        <v>4272</v>
      </c>
      <c r="D26" s="19">
        <f>4272-1811</f>
        <v>2461</v>
      </c>
      <c r="E26" s="19">
        <f t="shared" si="0"/>
        <v>1811</v>
      </c>
      <c r="F26" s="10"/>
      <c r="G26" s="19">
        <v>4253</v>
      </c>
      <c r="H26" s="19">
        <f>4253-2062</f>
        <v>2191</v>
      </c>
      <c r="I26" s="19">
        <v>2062</v>
      </c>
      <c r="K26" s="19">
        <v>4658</v>
      </c>
      <c r="L26" s="19">
        <f t="shared" si="2"/>
        <v>2695</v>
      </c>
      <c r="M26" s="19">
        <v>1963</v>
      </c>
      <c r="N26" s="28"/>
      <c r="O26" s="19">
        <v>5784</v>
      </c>
      <c r="P26" s="19">
        <f t="shared" si="3"/>
        <v>3878</v>
      </c>
      <c r="Q26" s="19">
        <v>1906</v>
      </c>
      <c r="S26" s="37">
        <v>6885</v>
      </c>
      <c r="T26" s="37">
        <f t="shared" si="4"/>
        <v>5124</v>
      </c>
      <c r="U26" s="37">
        <v>1761</v>
      </c>
      <c r="W26" s="37">
        <v>6566</v>
      </c>
      <c r="X26" s="22">
        <f t="shared" si="1"/>
        <v>4763</v>
      </c>
      <c r="Y26" s="37">
        <v>1803</v>
      </c>
    </row>
    <row r="27" spans="1:25" s="24" customFormat="1" ht="15" customHeight="1">
      <c r="A27" s="49" t="s">
        <v>1</v>
      </c>
      <c r="C27" s="19">
        <v>4848</v>
      </c>
      <c r="D27" s="19">
        <f>4848-2069</f>
        <v>2779</v>
      </c>
      <c r="E27" s="19">
        <f t="shared" si="0"/>
        <v>2069</v>
      </c>
      <c r="F27" s="10"/>
      <c r="G27" s="19">
        <v>6237</v>
      </c>
      <c r="H27" s="19">
        <f>6237-4639</f>
        <v>1598</v>
      </c>
      <c r="I27" s="19">
        <v>4639</v>
      </c>
      <c r="K27" s="19">
        <v>6630</v>
      </c>
      <c r="L27" s="19">
        <f t="shared" si="2"/>
        <v>1351</v>
      </c>
      <c r="M27" s="19">
        <v>5279</v>
      </c>
      <c r="N27" s="28"/>
      <c r="O27" s="19">
        <v>6900</v>
      </c>
      <c r="P27" s="19">
        <f t="shared" si="3"/>
        <v>1203</v>
      </c>
      <c r="Q27" s="19">
        <v>5697</v>
      </c>
      <c r="S27" s="37">
        <v>6312</v>
      </c>
      <c r="T27" s="37">
        <f t="shared" si="4"/>
        <v>817</v>
      </c>
      <c r="U27" s="37">
        <v>5495</v>
      </c>
      <c r="W27" s="37">
        <v>6784</v>
      </c>
      <c r="X27" s="22">
        <f t="shared" si="1"/>
        <v>942</v>
      </c>
      <c r="Y27" s="37">
        <v>5842</v>
      </c>
    </row>
    <row r="28" spans="1:25" s="24" customFormat="1" ht="15" customHeight="1">
      <c r="A28" s="49" t="s">
        <v>19</v>
      </c>
      <c r="C28" s="19">
        <f>210+83</f>
        <v>293</v>
      </c>
      <c r="D28" s="19">
        <f>293-68</f>
        <v>225</v>
      </c>
      <c r="E28" s="19">
        <f t="shared" si="0"/>
        <v>68</v>
      </c>
      <c r="F28" s="10"/>
      <c r="G28" s="19">
        <f>143+19</f>
        <v>162</v>
      </c>
      <c r="H28" s="19">
        <f>162-110</f>
        <v>52</v>
      </c>
      <c r="I28" s="19">
        <f>110</f>
        <v>110</v>
      </c>
      <c r="K28" s="19">
        <f>26+71</f>
        <v>97</v>
      </c>
      <c r="L28" s="19">
        <v>63</v>
      </c>
      <c r="M28" s="19">
        <v>34</v>
      </c>
      <c r="N28" s="28"/>
      <c r="O28" s="19">
        <v>124</v>
      </c>
      <c r="P28" s="19">
        <v>123</v>
      </c>
      <c r="Q28" s="19">
        <v>1</v>
      </c>
      <c r="S28" s="28">
        <v>122</v>
      </c>
      <c r="T28" s="28">
        <f t="shared" si="4"/>
        <v>120</v>
      </c>
      <c r="U28" s="28">
        <v>2</v>
      </c>
      <c r="W28" s="28">
        <f>27+7</f>
        <v>34</v>
      </c>
      <c r="X28" s="22">
        <f t="shared" si="1"/>
        <v>31</v>
      </c>
      <c r="Y28" s="28">
        <f>3</f>
        <v>3</v>
      </c>
    </row>
    <row r="29" spans="1:24" s="26" customFormat="1" ht="15" customHeight="1">
      <c r="A29" s="13"/>
      <c r="C29" s="47"/>
      <c r="D29" s="47"/>
      <c r="E29" s="47"/>
      <c r="F29" s="44"/>
      <c r="G29" s="47"/>
      <c r="H29" s="47"/>
      <c r="I29" s="47"/>
      <c r="K29" s="47"/>
      <c r="L29" s="47"/>
      <c r="M29" s="47"/>
      <c r="N29" s="3"/>
      <c r="O29" s="47"/>
      <c r="P29" s="47"/>
      <c r="Q29" s="47"/>
      <c r="X29" s="45"/>
    </row>
    <row r="30" spans="1:25" ht="18" customHeight="1">
      <c r="A30" s="6" t="s">
        <v>30</v>
      </c>
      <c r="B30" s="26"/>
      <c r="C30" s="43">
        <f>114085-6129</f>
        <v>107956</v>
      </c>
      <c r="D30" s="43">
        <f>107956-77073</f>
        <v>30883</v>
      </c>
      <c r="E30" s="43">
        <f t="shared" si="0"/>
        <v>77073</v>
      </c>
      <c r="F30" s="44"/>
      <c r="G30" s="43">
        <f>68417-3673+10</f>
        <v>64754</v>
      </c>
      <c r="H30" s="43">
        <f>64754-38604</f>
        <v>26150</v>
      </c>
      <c r="I30" s="43">
        <f>41644-3040</f>
        <v>38604</v>
      </c>
      <c r="K30" s="43">
        <v>63997</v>
      </c>
      <c r="L30" s="43">
        <f>63997-39993</f>
        <v>24004</v>
      </c>
      <c r="M30" s="43">
        <f>42408-2415</f>
        <v>39993</v>
      </c>
      <c r="O30" s="43">
        <f>74188-6068</f>
        <v>68120</v>
      </c>
      <c r="P30" s="43">
        <f>O30-Q30</f>
        <v>24692</v>
      </c>
      <c r="Q30" s="43">
        <f>46713-3285</f>
        <v>43428</v>
      </c>
      <c r="S30" s="43">
        <v>66002</v>
      </c>
      <c r="T30" s="43">
        <f>S30-U30</f>
        <v>31362</v>
      </c>
      <c r="U30" s="43">
        <v>34640</v>
      </c>
      <c r="W30" s="43">
        <v>70637</v>
      </c>
      <c r="X30" s="43">
        <f t="shared" si="1"/>
        <v>35529</v>
      </c>
      <c r="Y30" s="43">
        <v>35108</v>
      </c>
    </row>
    <row r="31" spans="1:25" s="28" customFormat="1" ht="15" customHeight="1">
      <c r="A31" s="10" t="s">
        <v>4</v>
      </c>
      <c r="C31" s="19">
        <v>87465</v>
      </c>
      <c r="D31" s="19">
        <f>87465-66565</f>
        <v>20900</v>
      </c>
      <c r="E31" s="19">
        <f t="shared" si="0"/>
        <v>66565</v>
      </c>
      <c r="F31" s="9"/>
      <c r="G31" s="19">
        <v>43267</v>
      </c>
      <c r="H31" s="19">
        <f>43267-28429</f>
        <v>14838</v>
      </c>
      <c r="I31" s="19">
        <v>28429</v>
      </c>
      <c r="K31" s="19">
        <v>41616</v>
      </c>
      <c r="L31" s="19">
        <f>41616-30007</f>
        <v>11609</v>
      </c>
      <c r="M31" s="19">
        <v>30007</v>
      </c>
      <c r="O31" s="19">
        <v>36068</v>
      </c>
      <c r="P31" s="19">
        <f aca="true" t="shared" si="5" ref="P31:P37">O31-Q31</f>
        <v>5266</v>
      </c>
      <c r="Q31" s="19">
        <v>30802</v>
      </c>
      <c r="S31" s="37">
        <v>33847</v>
      </c>
      <c r="T31" s="37">
        <f>S31-U31</f>
        <v>9693</v>
      </c>
      <c r="U31" s="37">
        <v>24154</v>
      </c>
      <c r="W31" s="37">
        <v>35460</v>
      </c>
      <c r="X31" s="22">
        <f t="shared" si="1"/>
        <v>12412</v>
      </c>
      <c r="Y31" s="37">
        <v>23048</v>
      </c>
    </row>
    <row r="32" spans="1:25" s="24" customFormat="1" ht="15" customHeight="1">
      <c r="A32" s="49" t="s">
        <v>0</v>
      </c>
      <c r="C32" s="19">
        <v>692</v>
      </c>
      <c r="D32" s="19">
        <f>692-448</f>
        <v>244</v>
      </c>
      <c r="E32" s="19">
        <f t="shared" si="0"/>
        <v>448</v>
      </c>
      <c r="F32" s="10"/>
      <c r="G32" s="19">
        <v>1117</v>
      </c>
      <c r="H32" s="19">
        <f>1117-261</f>
        <v>856</v>
      </c>
      <c r="I32" s="19">
        <v>261</v>
      </c>
      <c r="K32" s="19">
        <v>1208</v>
      </c>
      <c r="L32" s="19">
        <f>1208-419</f>
        <v>789</v>
      </c>
      <c r="M32" s="19">
        <v>419</v>
      </c>
      <c r="N32" s="28"/>
      <c r="O32" s="19">
        <v>1010</v>
      </c>
      <c r="P32" s="19">
        <f t="shared" si="5"/>
        <v>463</v>
      </c>
      <c r="Q32" s="19">
        <v>547</v>
      </c>
      <c r="S32" s="37">
        <v>1252</v>
      </c>
      <c r="T32" s="37">
        <f aca="true" t="shared" si="6" ref="T32:T37">S32-U32</f>
        <v>311</v>
      </c>
      <c r="U32" s="37">
        <v>941</v>
      </c>
      <c r="W32" s="37">
        <v>1197</v>
      </c>
      <c r="X32" s="22">
        <f t="shared" si="1"/>
        <v>240</v>
      </c>
      <c r="Y32" s="37">
        <v>957</v>
      </c>
    </row>
    <row r="33" spans="1:25" s="24" customFormat="1" ht="15" customHeight="1">
      <c r="A33" s="49" t="s">
        <v>9</v>
      </c>
      <c r="C33" s="19">
        <v>306</v>
      </c>
      <c r="D33" s="19">
        <f>306-78</f>
        <v>228</v>
      </c>
      <c r="E33" s="19">
        <f t="shared" si="0"/>
        <v>78</v>
      </c>
      <c r="F33" s="10"/>
      <c r="G33" s="19">
        <v>244</v>
      </c>
      <c r="H33" s="19">
        <f>244-69</f>
        <v>175</v>
      </c>
      <c r="I33" s="19">
        <v>69</v>
      </c>
      <c r="K33" s="19">
        <v>302</v>
      </c>
      <c r="L33" s="19">
        <f>302-273</f>
        <v>29</v>
      </c>
      <c r="M33" s="19">
        <f>273</f>
        <v>273</v>
      </c>
      <c r="N33" s="28"/>
      <c r="O33" s="19">
        <v>263</v>
      </c>
      <c r="P33" s="19">
        <f t="shared" si="5"/>
        <v>50</v>
      </c>
      <c r="Q33" s="19">
        <v>213</v>
      </c>
      <c r="S33" s="37">
        <v>107</v>
      </c>
      <c r="T33" s="37">
        <f t="shared" si="6"/>
        <v>4</v>
      </c>
      <c r="U33" s="37">
        <v>103</v>
      </c>
      <c r="W33" s="37">
        <v>41</v>
      </c>
      <c r="X33" s="22">
        <f t="shared" si="1"/>
        <v>0</v>
      </c>
      <c r="Y33" s="37">
        <v>41</v>
      </c>
    </row>
    <row r="34" spans="1:25" s="24" customFormat="1" ht="15" customHeight="1">
      <c r="A34" s="49" t="s">
        <v>2</v>
      </c>
      <c r="C34" s="19">
        <v>19096</v>
      </c>
      <c r="D34" s="19">
        <f>19096-9781</f>
        <v>9315</v>
      </c>
      <c r="E34" s="19">
        <f t="shared" si="0"/>
        <v>9781</v>
      </c>
      <c r="F34" s="10"/>
      <c r="G34" s="19">
        <v>19745</v>
      </c>
      <c r="H34" s="19">
        <f>19745-9695</f>
        <v>10050</v>
      </c>
      <c r="I34" s="19">
        <v>9695</v>
      </c>
      <c r="K34" s="19">
        <v>20149</v>
      </c>
      <c r="L34" s="19">
        <f>20149-8933</f>
        <v>11216</v>
      </c>
      <c r="M34" s="19">
        <v>8933</v>
      </c>
      <c r="N34" s="28"/>
      <c r="O34" s="19">
        <v>30016</v>
      </c>
      <c r="P34" s="19">
        <f t="shared" si="5"/>
        <v>18310</v>
      </c>
      <c r="Q34" s="19">
        <v>11706</v>
      </c>
      <c r="S34" s="37">
        <v>29978</v>
      </c>
      <c r="T34" s="37">
        <f t="shared" si="6"/>
        <v>20751</v>
      </c>
      <c r="U34" s="37">
        <v>9227</v>
      </c>
      <c r="W34" s="37">
        <v>33278</v>
      </c>
      <c r="X34" s="22">
        <f t="shared" si="1"/>
        <v>22313</v>
      </c>
      <c r="Y34" s="37">
        <v>10965</v>
      </c>
    </row>
    <row r="35" spans="1:25" s="24" customFormat="1" ht="15" customHeight="1">
      <c r="A35" s="49" t="s">
        <v>3</v>
      </c>
      <c r="C35" s="19">
        <v>118</v>
      </c>
      <c r="D35" s="19">
        <f>118-101</f>
        <v>17</v>
      </c>
      <c r="E35" s="19">
        <f t="shared" si="0"/>
        <v>101</v>
      </c>
      <c r="F35" s="10"/>
      <c r="G35" s="19">
        <v>88</v>
      </c>
      <c r="H35" s="19">
        <f>88-76</f>
        <v>12</v>
      </c>
      <c r="I35" s="19">
        <v>76</v>
      </c>
      <c r="K35" s="19">
        <v>192</v>
      </c>
      <c r="L35" s="19">
        <f>192-190</f>
        <v>2</v>
      </c>
      <c r="M35" s="19">
        <v>190</v>
      </c>
      <c r="N35" s="28"/>
      <c r="O35" s="19">
        <v>41</v>
      </c>
      <c r="P35" s="19">
        <f t="shared" si="5"/>
        <v>2</v>
      </c>
      <c r="Q35" s="19">
        <v>39</v>
      </c>
      <c r="S35" s="37">
        <v>35</v>
      </c>
      <c r="T35" s="37">
        <f t="shared" si="6"/>
        <v>2</v>
      </c>
      <c r="U35" s="37">
        <v>33</v>
      </c>
      <c r="W35" s="37">
        <v>4</v>
      </c>
      <c r="X35" s="22">
        <f t="shared" si="1"/>
        <v>2</v>
      </c>
      <c r="Y35" s="37">
        <v>2</v>
      </c>
    </row>
    <row r="36" spans="1:25" s="24" customFormat="1" ht="15" customHeight="1">
      <c r="A36" s="49" t="s">
        <v>1</v>
      </c>
      <c r="C36" s="19">
        <v>243</v>
      </c>
      <c r="D36" s="19">
        <f>243-100</f>
        <v>143</v>
      </c>
      <c r="E36" s="19">
        <f t="shared" si="0"/>
        <v>100</v>
      </c>
      <c r="F36" s="10"/>
      <c r="G36" s="19">
        <v>256</v>
      </c>
      <c r="H36" s="19">
        <f>256-74</f>
        <v>182</v>
      </c>
      <c r="I36" s="19">
        <v>74</v>
      </c>
      <c r="K36" s="19">
        <v>518</v>
      </c>
      <c r="L36" s="19">
        <f>518-170</f>
        <v>348</v>
      </c>
      <c r="M36" s="19">
        <v>170</v>
      </c>
      <c r="N36" s="28"/>
      <c r="O36" s="19">
        <v>526</v>
      </c>
      <c r="P36" s="19">
        <f t="shared" si="5"/>
        <v>408</v>
      </c>
      <c r="Q36" s="19">
        <v>118</v>
      </c>
      <c r="S36" s="37">
        <v>284</v>
      </c>
      <c r="T36" s="37">
        <f t="shared" si="6"/>
        <v>208</v>
      </c>
      <c r="U36" s="37">
        <v>76</v>
      </c>
      <c r="W36" s="37">
        <v>182</v>
      </c>
      <c r="X36" s="22">
        <f t="shared" si="1"/>
        <v>145</v>
      </c>
      <c r="Y36" s="37">
        <v>37</v>
      </c>
    </row>
    <row r="37" spans="1:25" s="24" customFormat="1" ht="15" customHeight="1">
      <c r="A37" s="49" t="s">
        <v>19</v>
      </c>
      <c r="C37" s="19">
        <f>36+0</f>
        <v>36</v>
      </c>
      <c r="D37" s="19">
        <f>36-0</f>
        <v>36</v>
      </c>
      <c r="E37" s="50">
        <f t="shared" si="0"/>
        <v>0</v>
      </c>
      <c r="F37" s="10"/>
      <c r="G37" s="19">
        <v>37</v>
      </c>
      <c r="H37" s="19">
        <v>37</v>
      </c>
      <c r="I37" s="50">
        <v>0</v>
      </c>
      <c r="K37" s="19">
        <v>12</v>
      </c>
      <c r="L37" s="19">
        <f>12-1</f>
        <v>11</v>
      </c>
      <c r="M37" s="19">
        <v>1</v>
      </c>
      <c r="N37" s="28"/>
      <c r="O37" s="19">
        <f>193+3</f>
        <v>196</v>
      </c>
      <c r="P37" s="19">
        <f t="shared" si="5"/>
        <v>193</v>
      </c>
      <c r="Q37" s="19">
        <f>0+3</f>
        <v>3</v>
      </c>
      <c r="S37" s="37">
        <v>499</v>
      </c>
      <c r="T37" s="37">
        <f t="shared" si="6"/>
        <v>393</v>
      </c>
      <c r="U37" s="37">
        <v>106</v>
      </c>
      <c r="W37" s="37">
        <f>456+19</f>
        <v>475</v>
      </c>
      <c r="X37" s="22">
        <f t="shared" si="1"/>
        <v>417</v>
      </c>
      <c r="Y37" s="37">
        <f>52+6</f>
        <v>58</v>
      </c>
    </row>
    <row r="38" spans="1:24" s="26" customFormat="1" ht="15" customHeight="1">
      <c r="A38" s="13"/>
      <c r="C38" s="47"/>
      <c r="D38" s="47"/>
      <c r="E38" s="51"/>
      <c r="F38" s="44"/>
      <c r="G38" s="47"/>
      <c r="H38" s="47"/>
      <c r="I38" s="51"/>
      <c r="K38" s="47"/>
      <c r="L38" s="47"/>
      <c r="M38" s="47"/>
      <c r="N38" s="3"/>
      <c r="O38" s="47"/>
      <c r="P38" s="47"/>
      <c r="Q38" s="47"/>
      <c r="X38" s="45"/>
    </row>
    <row r="39" spans="1:25" ht="18" customHeight="1">
      <c r="A39" s="6" t="s">
        <v>31</v>
      </c>
      <c r="B39" s="26"/>
      <c r="C39" s="43">
        <f>96789-4224</f>
        <v>92565</v>
      </c>
      <c r="D39" s="43">
        <v>51082</v>
      </c>
      <c r="E39" s="43">
        <v>41483</v>
      </c>
      <c r="F39" s="44"/>
      <c r="G39" s="43">
        <f>178546-5405</f>
        <v>173141</v>
      </c>
      <c r="H39" s="43">
        <f>173141-58175</f>
        <v>114966</v>
      </c>
      <c r="I39" s="43">
        <f>62018-3843</f>
        <v>58175</v>
      </c>
      <c r="K39" s="43">
        <f>108266-4073</f>
        <v>104193</v>
      </c>
      <c r="L39" s="43">
        <f>K39-M39</f>
        <v>63662</v>
      </c>
      <c r="M39" s="43">
        <f>43117-2586</f>
        <v>40531</v>
      </c>
      <c r="O39" s="43">
        <f>75874-2492</f>
        <v>73382</v>
      </c>
      <c r="P39" s="43">
        <f aca="true" t="shared" si="7" ref="P39:P46">O39-Q39</f>
        <v>30620</v>
      </c>
      <c r="Q39" s="43">
        <v>42762</v>
      </c>
      <c r="S39" s="43">
        <v>91220</v>
      </c>
      <c r="T39" s="43">
        <v>43643</v>
      </c>
      <c r="U39" s="43">
        <v>47577</v>
      </c>
      <c r="W39" s="43">
        <v>86552</v>
      </c>
      <c r="X39" s="45">
        <f t="shared" si="1"/>
        <v>39999</v>
      </c>
      <c r="Y39" s="43">
        <v>46553</v>
      </c>
    </row>
    <row r="40" spans="1:25" s="28" customFormat="1" ht="15" customHeight="1">
      <c r="A40" s="10" t="s">
        <v>4</v>
      </c>
      <c r="C40" s="19">
        <v>86451</v>
      </c>
      <c r="D40" s="19">
        <f>86451-38773</f>
        <v>47678</v>
      </c>
      <c r="E40" s="19">
        <f t="shared" si="0"/>
        <v>38773</v>
      </c>
      <c r="F40" s="9"/>
      <c r="G40" s="19">
        <v>165160</v>
      </c>
      <c r="H40" s="19">
        <f>165160-52823</f>
        <v>112337</v>
      </c>
      <c r="I40" s="19">
        <v>52823</v>
      </c>
      <c r="K40" s="19">
        <v>100804</v>
      </c>
      <c r="L40" s="19">
        <f aca="true" t="shared" si="8" ref="L40:L46">K40-M40</f>
        <v>61368</v>
      </c>
      <c r="M40" s="19">
        <v>39436</v>
      </c>
      <c r="O40" s="19">
        <v>67136</v>
      </c>
      <c r="P40" s="19">
        <f t="shared" si="7"/>
        <v>28197</v>
      </c>
      <c r="Q40" s="19">
        <v>38939</v>
      </c>
      <c r="S40" s="37">
        <v>82618</v>
      </c>
      <c r="T40" s="37">
        <f aca="true" t="shared" si="9" ref="T40:T45">S40-U40</f>
        <v>40617</v>
      </c>
      <c r="U40" s="37">
        <v>42001</v>
      </c>
      <c r="W40" s="37">
        <v>79824</v>
      </c>
      <c r="X40" s="22">
        <f t="shared" si="1"/>
        <v>38420</v>
      </c>
      <c r="Y40" s="37">
        <v>41404</v>
      </c>
    </row>
    <row r="41" spans="1:25" s="24" customFormat="1" ht="15" customHeight="1">
      <c r="A41" s="49" t="s">
        <v>0</v>
      </c>
      <c r="C41" s="19">
        <v>2566</v>
      </c>
      <c r="D41" s="19">
        <f>2566-2071</f>
        <v>495</v>
      </c>
      <c r="E41" s="19">
        <f t="shared" si="0"/>
        <v>2071</v>
      </c>
      <c r="F41" s="10"/>
      <c r="G41" s="19">
        <v>2069</v>
      </c>
      <c r="H41" s="19">
        <f>2069-1827</f>
        <v>242</v>
      </c>
      <c r="I41" s="19">
        <v>1827</v>
      </c>
      <c r="K41" s="19">
        <v>890</v>
      </c>
      <c r="L41" s="19">
        <f t="shared" si="8"/>
        <v>240</v>
      </c>
      <c r="M41" s="19">
        <v>650</v>
      </c>
      <c r="N41" s="28"/>
      <c r="O41" s="19">
        <f>1215</f>
        <v>1215</v>
      </c>
      <c r="P41" s="19">
        <f t="shared" si="7"/>
        <v>401</v>
      </c>
      <c r="Q41" s="19">
        <v>814</v>
      </c>
      <c r="S41" s="37">
        <v>1735</v>
      </c>
      <c r="T41" s="37">
        <f t="shared" si="9"/>
        <v>652</v>
      </c>
      <c r="U41" s="37">
        <v>1083</v>
      </c>
      <c r="W41" s="37">
        <v>1349</v>
      </c>
      <c r="X41" s="22">
        <f t="shared" si="1"/>
        <v>458</v>
      </c>
      <c r="Y41" s="37">
        <v>891</v>
      </c>
    </row>
    <row r="42" spans="1:25" s="24" customFormat="1" ht="15" customHeight="1">
      <c r="A42" s="49" t="s">
        <v>9</v>
      </c>
      <c r="C42" s="19">
        <v>51</v>
      </c>
      <c r="D42" s="19">
        <f>51-0</f>
        <v>51</v>
      </c>
      <c r="E42" s="50">
        <f t="shared" si="0"/>
        <v>0</v>
      </c>
      <c r="F42" s="10"/>
      <c r="G42" s="19">
        <v>1</v>
      </c>
      <c r="H42" s="19">
        <f>1-0</f>
        <v>1</v>
      </c>
      <c r="I42" s="50">
        <v>0</v>
      </c>
      <c r="K42" s="19">
        <v>100</v>
      </c>
      <c r="L42" s="19">
        <f t="shared" si="8"/>
        <v>98</v>
      </c>
      <c r="M42" s="19">
        <v>2</v>
      </c>
      <c r="N42" s="28"/>
      <c r="O42" s="19">
        <v>2</v>
      </c>
      <c r="P42" s="19">
        <f t="shared" si="7"/>
        <v>1</v>
      </c>
      <c r="Q42" s="19">
        <v>1</v>
      </c>
      <c r="S42" s="37">
        <v>38</v>
      </c>
      <c r="T42" s="37">
        <f t="shared" si="9"/>
        <v>38</v>
      </c>
      <c r="U42" s="52">
        <v>0</v>
      </c>
      <c r="W42" s="37">
        <v>67</v>
      </c>
      <c r="X42" s="22">
        <f t="shared" si="1"/>
        <v>65</v>
      </c>
      <c r="Y42" s="52">
        <v>2</v>
      </c>
    </row>
    <row r="43" spans="1:25" s="24" customFormat="1" ht="15" customHeight="1">
      <c r="A43" s="49" t="s">
        <v>2</v>
      </c>
      <c r="C43" s="19">
        <v>3011</v>
      </c>
      <c r="D43" s="19">
        <f>3011-561</f>
        <v>2450</v>
      </c>
      <c r="E43" s="19">
        <f t="shared" si="0"/>
        <v>561</v>
      </c>
      <c r="F43" s="10"/>
      <c r="G43" s="19">
        <v>5227</v>
      </c>
      <c r="H43" s="19">
        <f>5227-3430</f>
        <v>1797</v>
      </c>
      <c r="I43" s="19">
        <v>3430</v>
      </c>
      <c r="K43" s="19">
        <v>1131</v>
      </c>
      <c r="L43" s="19">
        <f t="shared" si="8"/>
        <v>737</v>
      </c>
      <c r="M43" s="19">
        <v>394</v>
      </c>
      <c r="N43" s="28"/>
      <c r="O43" s="19">
        <v>3625</v>
      </c>
      <c r="P43" s="19">
        <f t="shared" si="7"/>
        <v>1544</v>
      </c>
      <c r="Q43" s="19">
        <v>2081</v>
      </c>
      <c r="S43" s="37">
        <v>4839</v>
      </c>
      <c r="T43" s="37">
        <f t="shared" si="9"/>
        <v>1815</v>
      </c>
      <c r="U43" s="37">
        <v>3024</v>
      </c>
      <c r="W43" s="37">
        <v>3909</v>
      </c>
      <c r="X43" s="22">
        <f t="shared" si="1"/>
        <v>728</v>
      </c>
      <c r="Y43" s="37">
        <v>3181</v>
      </c>
    </row>
    <row r="44" spans="1:25" s="24" customFormat="1" ht="15" customHeight="1">
      <c r="A44" s="49" t="s">
        <v>3</v>
      </c>
      <c r="C44" s="19">
        <v>158</v>
      </c>
      <c r="D44" s="19">
        <f>158-9</f>
        <v>149</v>
      </c>
      <c r="E44" s="19">
        <f t="shared" si="0"/>
        <v>9</v>
      </c>
      <c r="F44" s="10"/>
      <c r="G44" s="19">
        <v>187</v>
      </c>
      <c r="H44" s="19">
        <f>187-2</f>
        <v>185</v>
      </c>
      <c r="I44" s="19">
        <v>2</v>
      </c>
      <c r="K44" s="19">
        <v>82</v>
      </c>
      <c r="L44" s="19">
        <f t="shared" si="8"/>
        <v>79</v>
      </c>
      <c r="M44" s="19">
        <v>3</v>
      </c>
      <c r="N44" s="28"/>
      <c r="O44" s="19">
        <v>68</v>
      </c>
      <c r="P44" s="19">
        <f t="shared" si="7"/>
        <v>67</v>
      </c>
      <c r="Q44" s="19">
        <v>1</v>
      </c>
      <c r="S44" s="37">
        <v>148</v>
      </c>
      <c r="T44" s="37">
        <f t="shared" si="9"/>
        <v>139</v>
      </c>
      <c r="U44" s="37">
        <v>9</v>
      </c>
      <c r="W44" s="37">
        <v>40</v>
      </c>
      <c r="X44" s="22">
        <f t="shared" si="1"/>
        <v>29</v>
      </c>
      <c r="Y44" s="37">
        <v>11</v>
      </c>
    </row>
    <row r="45" spans="1:25" s="24" customFormat="1" ht="15" customHeight="1">
      <c r="A45" s="49" t="s">
        <v>1</v>
      </c>
      <c r="C45" s="19">
        <v>51</v>
      </c>
      <c r="D45" s="19">
        <f>51-11</f>
        <v>40</v>
      </c>
      <c r="E45" s="19">
        <f t="shared" si="0"/>
        <v>11</v>
      </c>
      <c r="F45" s="10"/>
      <c r="G45" s="19">
        <v>290</v>
      </c>
      <c r="H45" s="19">
        <f>290-87</f>
        <v>203</v>
      </c>
      <c r="I45" s="19">
        <v>87</v>
      </c>
      <c r="K45" s="19">
        <v>93</v>
      </c>
      <c r="L45" s="19">
        <f t="shared" si="8"/>
        <v>57</v>
      </c>
      <c r="M45" s="19">
        <v>36</v>
      </c>
      <c r="N45" s="28"/>
      <c r="O45" s="19">
        <v>1092</v>
      </c>
      <c r="P45" s="19">
        <f t="shared" si="7"/>
        <v>210</v>
      </c>
      <c r="Q45" s="19">
        <v>882</v>
      </c>
      <c r="S45" s="37">
        <v>1205</v>
      </c>
      <c r="T45" s="37">
        <f t="shared" si="9"/>
        <v>123</v>
      </c>
      <c r="U45" s="37">
        <v>1082</v>
      </c>
      <c r="W45" s="37">
        <v>726</v>
      </c>
      <c r="X45" s="22">
        <f t="shared" si="1"/>
        <v>119</v>
      </c>
      <c r="Y45" s="37">
        <v>607</v>
      </c>
    </row>
    <row r="46" spans="1:25" s="24" customFormat="1" ht="15" customHeight="1">
      <c r="A46" s="49" t="s">
        <v>19</v>
      </c>
      <c r="C46" s="19">
        <f>3+272+2</f>
        <v>277</v>
      </c>
      <c r="D46" s="19">
        <v>219</v>
      </c>
      <c r="E46" s="19">
        <v>58</v>
      </c>
      <c r="F46" s="10"/>
      <c r="G46" s="19">
        <v>207</v>
      </c>
      <c r="H46" s="19">
        <f>207-6</f>
        <v>201</v>
      </c>
      <c r="I46" s="19">
        <v>6</v>
      </c>
      <c r="K46" s="19">
        <f>965+128</f>
        <v>1093</v>
      </c>
      <c r="L46" s="19">
        <f t="shared" si="8"/>
        <v>1083</v>
      </c>
      <c r="M46" s="19">
        <f>10</f>
        <v>10</v>
      </c>
      <c r="N46" s="28"/>
      <c r="O46" s="19">
        <f>235+9</f>
        <v>244</v>
      </c>
      <c r="P46" s="19">
        <f t="shared" si="7"/>
        <v>200</v>
      </c>
      <c r="Q46" s="19">
        <v>44</v>
      </c>
      <c r="S46" s="37">
        <v>637</v>
      </c>
      <c r="T46" s="37">
        <v>259</v>
      </c>
      <c r="U46" s="37">
        <v>378</v>
      </c>
      <c r="W46" s="37">
        <f>520+117</f>
        <v>637</v>
      </c>
      <c r="X46" s="22">
        <f t="shared" si="1"/>
        <v>180</v>
      </c>
      <c r="Y46" s="37">
        <f>450+7</f>
        <v>457</v>
      </c>
    </row>
    <row r="47" spans="1:25" s="26" customFormat="1" ht="15" customHeight="1">
      <c r="A47" s="13"/>
      <c r="C47" s="47"/>
      <c r="D47" s="47"/>
      <c r="E47" s="47"/>
      <c r="F47" s="44"/>
      <c r="G47" s="45"/>
      <c r="H47" s="45"/>
      <c r="I47" s="45"/>
      <c r="K47" s="45"/>
      <c r="L47" s="45"/>
      <c r="M47" s="45"/>
      <c r="N47" s="3"/>
      <c r="O47" s="45"/>
      <c r="P47" s="45"/>
      <c r="Q47" s="45"/>
      <c r="W47" s="19"/>
      <c r="X47" s="19"/>
      <c r="Y47" s="19"/>
    </row>
    <row r="48" ht="15" customHeight="1">
      <c r="I48" s="53"/>
    </row>
    <row r="49" ht="15" customHeight="1">
      <c r="I49" s="53"/>
    </row>
    <row r="50" spans="1:25" ht="15" customHeight="1">
      <c r="A50" s="4"/>
      <c r="B50" s="38"/>
      <c r="C50" s="89">
        <v>2007</v>
      </c>
      <c r="D50" s="89"/>
      <c r="E50" s="89"/>
      <c r="F50" s="44"/>
      <c r="G50" s="89">
        <v>2008</v>
      </c>
      <c r="H50" s="89"/>
      <c r="I50" s="89"/>
      <c r="K50" s="89">
        <v>2009</v>
      </c>
      <c r="L50" s="89"/>
      <c r="M50" s="89"/>
      <c r="O50" s="89">
        <v>2010</v>
      </c>
      <c r="P50" s="89"/>
      <c r="Q50" s="89"/>
      <c r="S50" s="89">
        <v>2011</v>
      </c>
      <c r="T50" s="89"/>
      <c r="U50" s="89"/>
      <c r="W50" s="87" t="s">
        <v>20</v>
      </c>
      <c r="X50" s="87"/>
      <c r="Y50" s="87"/>
    </row>
    <row r="51" spans="3:25" ht="15" customHeight="1" thickBot="1">
      <c r="C51" s="1" t="s">
        <v>5</v>
      </c>
      <c r="D51" s="1" t="s">
        <v>8</v>
      </c>
      <c r="E51" s="1" t="s">
        <v>7</v>
      </c>
      <c r="G51" s="1" t="s">
        <v>5</v>
      </c>
      <c r="H51" s="1" t="s">
        <v>8</v>
      </c>
      <c r="I51" s="1" t="s">
        <v>7</v>
      </c>
      <c r="K51" s="1" t="s">
        <v>5</v>
      </c>
      <c r="L51" s="1" t="s">
        <v>8</v>
      </c>
      <c r="M51" s="1" t="s">
        <v>7</v>
      </c>
      <c r="O51" s="1" t="s">
        <v>5</v>
      </c>
      <c r="P51" s="1" t="s">
        <v>8</v>
      </c>
      <c r="Q51" s="1" t="s">
        <v>7</v>
      </c>
      <c r="S51" s="1" t="s">
        <v>5</v>
      </c>
      <c r="T51" s="1" t="s">
        <v>8</v>
      </c>
      <c r="U51" s="1" t="s">
        <v>7</v>
      </c>
      <c r="W51" s="40" t="s">
        <v>5</v>
      </c>
      <c r="X51" s="40" t="s">
        <v>8</v>
      </c>
      <c r="Y51" s="40" t="s">
        <v>7</v>
      </c>
    </row>
    <row r="52" spans="1:25" ht="18" customHeight="1" thickTop="1">
      <c r="A52" s="6" t="s">
        <v>13</v>
      </c>
      <c r="C52" s="48">
        <v>1958322</v>
      </c>
      <c r="D52" s="48">
        <f>1958322-837157</f>
        <v>1121165</v>
      </c>
      <c r="E52" s="48">
        <v>837157</v>
      </c>
      <c r="G52" s="48">
        <v>1882161</v>
      </c>
      <c r="H52" s="48">
        <f>1882161-980398</f>
        <v>901763</v>
      </c>
      <c r="I52" s="48">
        <v>980398</v>
      </c>
      <c r="K52" s="48">
        <v>1838589</v>
      </c>
      <c r="L52" s="48">
        <f>K52-M52</f>
        <v>954363</v>
      </c>
      <c r="M52" s="48">
        <v>884226</v>
      </c>
      <c r="O52" s="43">
        <v>1853408</v>
      </c>
      <c r="P52" s="43">
        <f>O52-Q52</f>
        <v>908330</v>
      </c>
      <c r="Q52" s="43">
        <v>945078</v>
      </c>
      <c r="S52" s="54">
        <v>1642669</v>
      </c>
      <c r="T52" s="54">
        <f>S52-U52</f>
        <v>954938</v>
      </c>
      <c r="U52" s="54">
        <v>687731</v>
      </c>
      <c r="W52" s="54">
        <v>1541754</v>
      </c>
      <c r="X52" s="54">
        <f>W52-Y52</f>
        <v>935175</v>
      </c>
      <c r="Y52" s="54">
        <v>606579</v>
      </c>
    </row>
    <row r="53" spans="1:25" s="28" customFormat="1" ht="15" customHeight="1">
      <c r="A53" s="9" t="s">
        <v>32</v>
      </c>
      <c r="C53" s="19">
        <v>101793</v>
      </c>
      <c r="D53" s="19">
        <f>101793-66593</f>
        <v>35200</v>
      </c>
      <c r="E53" s="19">
        <v>66593</v>
      </c>
      <c r="G53" s="19">
        <v>78872</v>
      </c>
      <c r="H53" s="19">
        <f>78872-46916</f>
        <v>31956</v>
      </c>
      <c r="I53" s="19">
        <v>46916</v>
      </c>
      <c r="K53" s="19">
        <v>67473</v>
      </c>
      <c r="L53" s="19">
        <f aca="true" t="shared" si="10" ref="L53:L82">K53-M53</f>
        <v>18355</v>
      </c>
      <c r="M53" s="19">
        <v>49118</v>
      </c>
      <c r="O53" s="19">
        <v>57528</v>
      </c>
      <c r="P53" s="19">
        <f>O53-Q53</f>
        <v>15924</v>
      </c>
      <c r="Q53" s="19">
        <v>41604</v>
      </c>
      <c r="S53" s="19">
        <v>58077</v>
      </c>
      <c r="T53" s="19">
        <f>S53-U53</f>
        <v>21190</v>
      </c>
      <c r="U53" s="19">
        <v>36887</v>
      </c>
      <c r="W53" s="19">
        <v>58933</v>
      </c>
      <c r="X53" s="19">
        <f aca="true" t="shared" si="11" ref="X53:X82">W53-Y53</f>
        <v>26220</v>
      </c>
      <c r="Y53" s="19">
        <v>32713</v>
      </c>
    </row>
    <row r="54" spans="1:25" s="28" customFormat="1" ht="15" customHeight="1">
      <c r="A54" s="9" t="s">
        <v>12</v>
      </c>
      <c r="C54" s="19">
        <f>C52-C53</f>
        <v>1856529</v>
      </c>
      <c r="D54" s="19">
        <f>D52-D53</f>
        <v>1085965</v>
      </c>
      <c r="E54" s="19">
        <v>770564</v>
      </c>
      <c r="G54" s="19">
        <f>G52-G53</f>
        <v>1803289</v>
      </c>
      <c r="H54" s="19">
        <f>H52-H53</f>
        <v>869807</v>
      </c>
      <c r="I54" s="19">
        <f>G54-H54</f>
        <v>933482</v>
      </c>
      <c r="K54" s="19">
        <v>1771116</v>
      </c>
      <c r="L54" s="19">
        <f t="shared" si="10"/>
        <v>936008</v>
      </c>
      <c r="M54" s="19">
        <v>835108</v>
      </c>
      <c r="O54" s="19">
        <v>1795880</v>
      </c>
      <c r="P54" s="19">
        <f>O54-Q54</f>
        <v>892406</v>
      </c>
      <c r="Q54" s="19">
        <v>903474</v>
      </c>
      <c r="S54" s="19">
        <v>1584592</v>
      </c>
      <c r="T54" s="19">
        <f>S54-U54</f>
        <v>933748</v>
      </c>
      <c r="U54" s="19">
        <v>650844</v>
      </c>
      <c r="W54" s="19">
        <v>1482821</v>
      </c>
      <c r="X54" s="19">
        <f t="shared" si="11"/>
        <v>908955</v>
      </c>
      <c r="Y54" s="19">
        <v>573866</v>
      </c>
    </row>
    <row r="55" spans="1:24" ht="15" customHeight="1">
      <c r="A55" s="9"/>
      <c r="B55" s="28"/>
      <c r="C55" s="19"/>
      <c r="D55" s="19"/>
      <c r="E55" s="19"/>
      <c r="G55" s="19"/>
      <c r="H55" s="19"/>
      <c r="I55" s="19"/>
      <c r="K55" s="19"/>
      <c r="L55" s="19"/>
      <c r="M55" s="19"/>
      <c r="O55" s="19"/>
      <c r="P55" s="19"/>
      <c r="Q55" s="19"/>
      <c r="X55" s="54">
        <f t="shared" si="11"/>
        <v>0</v>
      </c>
    </row>
    <row r="56" spans="1:25" ht="18" customHeight="1">
      <c r="A56" s="6" t="s">
        <v>33</v>
      </c>
      <c r="B56" s="28"/>
      <c r="C56" s="48">
        <v>101793</v>
      </c>
      <c r="D56" s="48">
        <f>101793-66593</f>
        <v>35200</v>
      </c>
      <c r="E56" s="48">
        <v>66593</v>
      </c>
      <c r="F56" s="26"/>
      <c r="G56" s="48">
        <v>78872</v>
      </c>
      <c r="H56" s="48">
        <f>78872-46916</f>
        <v>31956</v>
      </c>
      <c r="I56" s="48">
        <v>46916</v>
      </c>
      <c r="J56" s="26"/>
      <c r="K56" s="48">
        <v>67473</v>
      </c>
      <c r="L56" s="48">
        <f>K56-M56</f>
        <v>18355</v>
      </c>
      <c r="M56" s="48">
        <v>49118</v>
      </c>
      <c r="N56" s="26"/>
      <c r="O56" s="43">
        <v>57528</v>
      </c>
      <c r="P56" s="43">
        <f>O56-Q56</f>
        <v>15924</v>
      </c>
      <c r="Q56" s="43">
        <v>41604</v>
      </c>
      <c r="R56" s="26"/>
      <c r="S56" s="43">
        <v>58077</v>
      </c>
      <c r="T56" s="43">
        <f>S56-U56</f>
        <v>21190</v>
      </c>
      <c r="U56" s="43">
        <v>36887</v>
      </c>
      <c r="W56" s="43">
        <v>58933</v>
      </c>
      <c r="X56" s="43">
        <f t="shared" si="11"/>
        <v>26220</v>
      </c>
      <c r="Y56" s="43">
        <v>32713</v>
      </c>
    </row>
    <row r="57" spans="1:25" s="28" customFormat="1" ht="15" customHeight="1">
      <c r="A57" s="10" t="s">
        <v>34</v>
      </c>
      <c r="C57" s="19">
        <v>86209</v>
      </c>
      <c r="D57" s="19">
        <f>C57-E57</f>
        <v>29975</v>
      </c>
      <c r="E57" s="19">
        <v>56234</v>
      </c>
      <c r="F57" s="10"/>
      <c r="G57" s="19">
        <v>65149</v>
      </c>
      <c r="H57" s="19">
        <f>G57-I57</f>
        <v>20678</v>
      </c>
      <c r="I57" s="19">
        <v>44471</v>
      </c>
      <c r="J57" s="24"/>
      <c r="K57" s="19">
        <f>63302</f>
        <v>63302</v>
      </c>
      <c r="L57" s="19">
        <f>K57-M57</f>
        <v>16020</v>
      </c>
      <c r="M57" s="19">
        <v>47282</v>
      </c>
      <c r="N57" s="24"/>
      <c r="O57" s="19">
        <v>51446</v>
      </c>
      <c r="P57" s="19">
        <f>O57-Q57</f>
        <v>12113</v>
      </c>
      <c r="Q57" s="19">
        <v>39333</v>
      </c>
      <c r="R57" s="24"/>
      <c r="S57" s="22">
        <v>52458</v>
      </c>
      <c r="T57" s="22">
        <f>S57-U57</f>
        <v>17793</v>
      </c>
      <c r="U57" s="22">
        <v>34665</v>
      </c>
      <c r="W57" s="22">
        <v>53809</v>
      </c>
      <c r="X57" s="22">
        <f t="shared" si="11"/>
        <v>22601</v>
      </c>
      <c r="Y57" s="22">
        <v>31208</v>
      </c>
    </row>
    <row r="58" spans="1:25" s="28" customFormat="1" ht="15" customHeight="1">
      <c r="A58" s="10" t="s">
        <v>35</v>
      </c>
      <c r="C58" s="50">
        <v>0</v>
      </c>
      <c r="D58" s="50">
        <v>0</v>
      </c>
      <c r="E58" s="50">
        <v>0</v>
      </c>
      <c r="G58" s="50">
        <v>0</v>
      </c>
      <c r="H58" s="50">
        <v>0</v>
      </c>
      <c r="I58" s="50">
        <v>0</v>
      </c>
      <c r="K58" s="50">
        <v>0</v>
      </c>
      <c r="L58" s="50">
        <v>0</v>
      </c>
      <c r="M58" s="50">
        <v>0</v>
      </c>
      <c r="O58" s="50">
        <v>0</v>
      </c>
      <c r="P58" s="50">
        <v>0</v>
      </c>
      <c r="Q58" s="50">
        <v>0</v>
      </c>
      <c r="S58" s="52">
        <v>0</v>
      </c>
      <c r="T58" s="52">
        <v>0</v>
      </c>
      <c r="U58" s="52">
        <v>0</v>
      </c>
      <c r="W58" s="52">
        <v>0</v>
      </c>
      <c r="X58" s="52">
        <v>0</v>
      </c>
      <c r="Y58" s="52">
        <v>0</v>
      </c>
    </row>
    <row r="59" spans="1:25" s="28" customFormat="1" ht="15" customHeight="1">
      <c r="A59" s="10" t="s">
        <v>36</v>
      </c>
      <c r="C59" s="19">
        <v>15584</v>
      </c>
      <c r="D59" s="19">
        <f>C59-E59</f>
        <v>5225</v>
      </c>
      <c r="E59" s="19">
        <v>10359</v>
      </c>
      <c r="F59" s="10"/>
      <c r="G59" s="19">
        <v>13723</v>
      </c>
      <c r="H59" s="19">
        <f>G59-I59</f>
        <v>11278</v>
      </c>
      <c r="I59" s="19">
        <v>2445</v>
      </c>
      <c r="J59" s="24"/>
      <c r="K59" s="19">
        <v>4171</v>
      </c>
      <c r="L59" s="19">
        <f>K59-M59</f>
        <v>2335</v>
      </c>
      <c r="M59" s="19">
        <v>1836</v>
      </c>
      <c r="N59" s="24"/>
      <c r="O59" s="19">
        <v>6082</v>
      </c>
      <c r="P59" s="19">
        <f>O59-Q59</f>
        <v>3811</v>
      </c>
      <c r="Q59" s="19">
        <v>2271</v>
      </c>
      <c r="R59" s="24"/>
      <c r="S59" s="22">
        <v>5619</v>
      </c>
      <c r="T59" s="22">
        <f>S59-U59</f>
        <v>3397</v>
      </c>
      <c r="U59" s="22">
        <v>2222</v>
      </c>
      <c r="W59" s="22">
        <v>5124</v>
      </c>
      <c r="X59" s="22">
        <f t="shared" si="11"/>
        <v>3619</v>
      </c>
      <c r="Y59" s="22">
        <v>1505</v>
      </c>
    </row>
    <row r="60" spans="1:24" ht="15" customHeight="1">
      <c r="A60" s="44"/>
      <c r="C60" s="55"/>
      <c r="D60" s="55"/>
      <c r="E60" s="55"/>
      <c r="G60" s="55"/>
      <c r="H60" s="55"/>
      <c r="I60" s="56"/>
      <c r="K60" s="55"/>
      <c r="L60" s="55"/>
      <c r="M60" s="55"/>
      <c r="O60" s="55"/>
      <c r="P60" s="55"/>
      <c r="Q60" s="55"/>
      <c r="X60" s="54"/>
    </row>
    <row r="61" spans="1:25" ht="18" customHeight="1">
      <c r="A61" s="6" t="s">
        <v>40</v>
      </c>
      <c r="C61" s="48">
        <v>1856529</v>
      </c>
      <c r="D61" s="48">
        <v>1085965</v>
      </c>
      <c r="E61" s="48">
        <v>770564</v>
      </c>
      <c r="F61" s="26"/>
      <c r="G61" s="48">
        <v>1803289</v>
      </c>
      <c r="H61" s="48">
        <v>869807</v>
      </c>
      <c r="I61" s="48">
        <v>933482</v>
      </c>
      <c r="J61" s="26"/>
      <c r="K61" s="48">
        <v>1771116</v>
      </c>
      <c r="L61" s="48">
        <v>936008</v>
      </c>
      <c r="M61" s="48">
        <v>835108</v>
      </c>
      <c r="N61" s="26"/>
      <c r="O61" s="43">
        <v>1795880</v>
      </c>
      <c r="P61" s="43">
        <v>892406</v>
      </c>
      <c r="Q61" s="43">
        <v>903474</v>
      </c>
      <c r="R61" s="26"/>
      <c r="S61" s="43">
        <v>1584592</v>
      </c>
      <c r="T61" s="43">
        <f>S61-U61</f>
        <v>933748</v>
      </c>
      <c r="U61" s="43">
        <v>650844</v>
      </c>
      <c r="W61" s="43">
        <v>1482821</v>
      </c>
      <c r="X61" s="43">
        <f t="shared" si="11"/>
        <v>908955</v>
      </c>
      <c r="Y61" s="43">
        <v>573866</v>
      </c>
    </row>
    <row r="62" spans="1:24" ht="15" customHeight="1">
      <c r="A62" s="14"/>
      <c r="C62" s="48"/>
      <c r="D62" s="48"/>
      <c r="E62" s="48"/>
      <c r="F62" s="26"/>
      <c r="G62" s="48"/>
      <c r="H62" s="48"/>
      <c r="I62" s="48"/>
      <c r="J62" s="26"/>
      <c r="K62" s="48"/>
      <c r="L62" s="48"/>
      <c r="M62" s="48"/>
      <c r="N62" s="26"/>
      <c r="O62" s="48"/>
      <c r="P62" s="48"/>
      <c r="Q62" s="48"/>
      <c r="R62" s="26"/>
      <c r="X62" s="54">
        <f t="shared" si="11"/>
        <v>0</v>
      </c>
    </row>
    <row r="63" spans="1:25" ht="18" customHeight="1">
      <c r="A63" s="6" t="s">
        <v>37</v>
      </c>
      <c r="C63" s="48">
        <f>1761905-86209</f>
        <v>1675696</v>
      </c>
      <c r="D63" s="48">
        <f>1675696-740699</f>
        <v>934997</v>
      </c>
      <c r="E63" s="48">
        <f>796933-56234</f>
        <v>740699</v>
      </c>
      <c r="G63" s="48">
        <f>1694043-65149</f>
        <v>1628894</v>
      </c>
      <c r="H63" s="48">
        <f>1628894-913874</f>
        <v>715020</v>
      </c>
      <c r="I63" s="48">
        <f>958345-44471</f>
        <v>913874</v>
      </c>
      <c r="K63" s="48">
        <f>1702579-63302</f>
        <v>1639277</v>
      </c>
      <c r="L63" s="48">
        <f t="shared" si="10"/>
        <v>821816</v>
      </c>
      <c r="M63" s="48">
        <f>864743-47282</f>
        <v>817461</v>
      </c>
      <c r="O63" s="43">
        <f>1744494-51446</f>
        <v>1693048</v>
      </c>
      <c r="P63" s="43">
        <f>O63-Q63</f>
        <v>798499</v>
      </c>
      <c r="Q63" s="43">
        <f>933882-39333</f>
        <v>894549</v>
      </c>
      <c r="S63" s="43">
        <v>1484160</v>
      </c>
      <c r="T63" s="43">
        <f>S63-U63</f>
        <v>845859</v>
      </c>
      <c r="U63" s="43">
        <v>638301</v>
      </c>
      <c r="W63" s="43">
        <v>1389015</v>
      </c>
      <c r="X63" s="43">
        <f t="shared" si="11"/>
        <v>826390</v>
      </c>
      <c r="Y63" s="43">
        <v>562625</v>
      </c>
    </row>
    <row r="64" spans="1:25" s="28" customFormat="1" ht="15" customHeight="1">
      <c r="A64" s="10" t="s">
        <v>4</v>
      </c>
      <c r="B64" s="10"/>
      <c r="C64" s="19">
        <v>1554348</v>
      </c>
      <c r="D64" s="19">
        <f>1554348-691236</f>
        <v>863112</v>
      </c>
      <c r="E64" s="19">
        <v>691236</v>
      </c>
      <c r="G64" s="19">
        <v>1509212</v>
      </c>
      <c r="H64" s="19">
        <f>1509212-859249</f>
        <v>649963</v>
      </c>
      <c r="I64" s="19">
        <v>859249</v>
      </c>
      <c r="K64" s="19">
        <v>1535618</v>
      </c>
      <c r="L64" s="19">
        <f t="shared" si="10"/>
        <v>767736</v>
      </c>
      <c r="M64" s="19">
        <v>767882</v>
      </c>
      <c r="O64" s="19">
        <v>1595955</v>
      </c>
      <c r="P64" s="19">
        <f>O64-Q64</f>
        <v>746277</v>
      </c>
      <c r="Q64" s="19">
        <v>849678</v>
      </c>
      <c r="S64" s="22">
        <v>1377388</v>
      </c>
      <c r="T64" s="22">
        <f>S64-U64</f>
        <v>782580</v>
      </c>
      <c r="U64" s="22">
        <v>594808</v>
      </c>
      <c r="W64" s="22">
        <v>1281613</v>
      </c>
      <c r="X64" s="22">
        <f t="shared" si="11"/>
        <v>766089</v>
      </c>
      <c r="Y64" s="22">
        <v>515524</v>
      </c>
    </row>
    <row r="65" spans="1:25" s="24" customFormat="1" ht="15" customHeight="1">
      <c r="A65" s="49" t="s">
        <v>0</v>
      </c>
      <c r="B65" s="10"/>
      <c r="C65" s="19">
        <v>62260</v>
      </c>
      <c r="D65" s="19">
        <f>62260-19128</f>
        <v>43132</v>
      </c>
      <c r="E65" s="19">
        <f aca="true" t="shared" si="12" ref="E65:E70">C65-D65</f>
        <v>19128</v>
      </c>
      <c r="F65" s="10"/>
      <c r="G65" s="19">
        <v>60015</v>
      </c>
      <c r="H65" s="19">
        <f>60015-19341</f>
        <v>40674</v>
      </c>
      <c r="I65" s="19">
        <v>19341</v>
      </c>
      <c r="K65" s="19">
        <v>52865</v>
      </c>
      <c r="L65" s="19">
        <f t="shared" si="10"/>
        <v>29593</v>
      </c>
      <c r="M65" s="19">
        <v>23272</v>
      </c>
      <c r="O65" s="19">
        <v>46738</v>
      </c>
      <c r="P65" s="19">
        <f>O65-Q65</f>
        <v>28176</v>
      </c>
      <c r="Q65" s="19">
        <v>18562</v>
      </c>
      <c r="S65" s="22">
        <v>49228</v>
      </c>
      <c r="T65" s="22">
        <f aca="true" t="shared" si="13" ref="T65:T70">S65-U65</f>
        <v>30359</v>
      </c>
      <c r="U65" s="22">
        <v>18869</v>
      </c>
      <c r="W65" s="22">
        <v>44228</v>
      </c>
      <c r="X65" s="22">
        <f t="shared" si="11"/>
        <v>25313</v>
      </c>
      <c r="Y65" s="22">
        <v>18915</v>
      </c>
    </row>
    <row r="66" spans="1:25" s="24" customFormat="1" ht="15" customHeight="1">
      <c r="A66" s="49" t="s">
        <v>9</v>
      </c>
      <c r="B66" s="10"/>
      <c r="C66" s="19">
        <v>1358</v>
      </c>
      <c r="D66" s="19">
        <f>1358-156</f>
        <v>1202</v>
      </c>
      <c r="E66" s="19">
        <f t="shared" si="12"/>
        <v>156</v>
      </c>
      <c r="F66" s="10"/>
      <c r="G66" s="19">
        <v>1370</v>
      </c>
      <c r="H66" s="19">
        <f>1370-133</f>
        <v>1237</v>
      </c>
      <c r="I66" s="19">
        <v>133</v>
      </c>
      <c r="K66" s="19">
        <v>1691</v>
      </c>
      <c r="L66" s="19">
        <f t="shared" si="10"/>
        <v>1458</v>
      </c>
      <c r="M66" s="19">
        <v>233</v>
      </c>
      <c r="O66" s="19">
        <v>597</v>
      </c>
      <c r="P66" s="19">
        <f>O66-42</f>
        <v>555</v>
      </c>
      <c r="Q66" s="19">
        <v>42</v>
      </c>
      <c r="S66" s="22">
        <v>884</v>
      </c>
      <c r="T66" s="22">
        <f t="shared" si="13"/>
        <v>822</v>
      </c>
      <c r="U66" s="22">
        <v>62</v>
      </c>
      <c r="W66" s="22">
        <v>1552</v>
      </c>
      <c r="X66" s="22">
        <f t="shared" si="11"/>
        <v>1471</v>
      </c>
      <c r="Y66" s="22">
        <v>81</v>
      </c>
    </row>
    <row r="67" spans="1:25" s="24" customFormat="1" ht="15" customHeight="1">
      <c r="A67" s="49" t="s">
        <v>2</v>
      </c>
      <c r="B67" s="10"/>
      <c r="C67" s="19">
        <v>35629</v>
      </c>
      <c r="D67" s="19">
        <f>35629-16956</f>
        <v>18673</v>
      </c>
      <c r="E67" s="19">
        <f t="shared" si="12"/>
        <v>16956</v>
      </c>
      <c r="F67" s="10"/>
      <c r="G67" s="19">
        <v>34625</v>
      </c>
      <c r="H67" s="19">
        <f>34625-20491</f>
        <v>14134</v>
      </c>
      <c r="I67" s="19">
        <v>20491</v>
      </c>
      <c r="K67" s="19">
        <v>30021</v>
      </c>
      <c r="L67" s="19">
        <f t="shared" si="10"/>
        <v>13089</v>
      </c>
      <c r="M67" s="19">
        <v>16932</v>
      </c>
      <c r="O67" s="19">
        <v>32452</v>
      </c>
      <c r="P67" s="19">
        <f>O67-Q67</f>
        <v>14291</v>
      </c>
      <c r="Q67" s="19">
        <v>18161</v>
      </c>
      <c r="S67" s="22">
        <v>34277</v>
      </c>
      <c r="T67" s="22">
        <f t="shared" si="13"/>
        <v>18470</v>
      </c>
      <c r="U67" s="22">
        <v>15807</v>
      </c>
      <c r="W67" s="22">
        <v>38561</v>
      </c>
      <c r="X67" s="22">
        <f t="shared" si="11"/>
        <v>20945</v>
      </c>
      <c r="Y67" s="22">
        <v>17616</v>
      </c>
    </row>
    <row r="68" spans="1:25" s="24" customFormat="1" ht="15" customHeight="1">
      <c r="A68" s="49" t="s">
        <v>3</v>
      </c>
      <c r="B68" s="10"/>
      <c r="C68" s="19">
        <v>10863</v>
      </c>
      <c r="D68" s="19">
        <f>10863-7056</f>
        <v>3807</v>
      </c>
      <c r="E68" s="19">
        <f t="shared" si="12"/>
        <v>7056</v>
      </c>
      <c r="F68" s="10"/>
      <c r="G68" s="19">
        <v>13350</v>
      </c>
      <c r="H68" s="19">
        <f>13350-8987</f>
        <v>4363</v>
      </c>
      <c r="I68" s="19">
        <v>8987</v>
      </c>
      <c r="K68" s="19">
        <v>8267</v>
      </c>
      <c r="L68" s="19">
        <f t="shared" si="10"/>
        <v>3259</v>
      </c>
      <c r="M68" s="19">
        <v>5008</v>
      </c>
      <c r="O68" s="19">
        <v>7816</v>
      </c>
      <c r="P68" s="19">
        <f>O68-Q68</f>
        <v>3872</v>
      </c>
      <c r="Q68" s="19">
        <v>3944</v>
      </c>
      <c r="S68" s="22">
        <v>9940</v>
      </c>
      <c r="T68" s="22">
        <f t="shared" si="13"/>
        <v>5393</v>
      </c>
      <c r="U68" s="22">
        <v>4547</v>
      </c>
      <c r="W68" s="22">
        <v>10273</v>
      </c>
      <c r="X68" s="22">
        <f t="shared" si="11"/>
        <v>5094</v>
      </c>
      <c r="Y68" s="22">
        <v>5179</v>
      </c>
    </row>
    <row r="69" spans="1:25" s="24" customFormat="1" ht="15" customHeight="1">
      <c r="A69" s="49" t="s">
        <v>1</v>
      </c>
      <c r="B69" s="10"/>
      <c r="C69" s="19">
        <v>10169</v>
      </c>
      <c r="D69" s="19">
        <f>10169-5307</f>
        <v>4862</v>
      </c>
      <c r="E69" s="19">
        <f t="shared" si="12"/>
        <v>5307</v>
      </c>
      <c r="F69" s="10"/>
      <c r="G69" s="19">
        <v>9762</v>
      </c>
      <c r="H69" s="19">
        <f>9762-5488</f>
        <v>4274</v>
      </c>
      <c r="I69" s="19">
        <v>5488</v>
      </c>
      <c r="K69" s="19">
        <v>10339</v>
      </c>
      <c r="L69" s="19">
        <f t="shared" si="10"/>
        <v>6440</v>
      </c>
      <c r="M69" s="19">
        <v>3899</v>
      </c>
      <c r="O69" s="19">
        <v>9176</v>
      </c>
      <c r="P69" s="19">
        <f>O69-Q69</f>
        <v>5182</v>
      </c>
      <c r="Q69" s="19">
        <v>3994</v>
      </c>
      <c r="S69" s="22">
        <v>11681</v>
      </c>
      <c r="T69" s="22">
        <f t="shared" si="13"/>
        <v>7888</v>
      </c>
      <c r="U69" s="22">
        <v>3793</v>
      </c>
      <c r="W69" s="22">
        <v>12205</v>
      </c>
      <c r="X69" s="22">
        <f t="shared" si="11"/>
        <v>7380</v>
      </c>
      <c r="Y69" s="22">
        <v>4825</v>
      </c>
    </row>
    <row r="70" spans="1:25" s="24" customFormat="1" ht="15" customHeight="1">
      <c r="A70" s="49" t="s">
        <v>19</v>
      </c>
      <c r="B70" s="10"/>
      <c r="C70" s="19">
        <f>1001+68</f>
        <v>1069</v>
      </c>
      <c r="D70" s="19">
        <f>1069-836-24</f>
        <v>209</v>
      </c>
      <c r="E70" s="19">
        <f t="shared" si="12"/>
        <v>860</v>
      </c>
      <c r="F70" s="10"/>
      <c r="G70" s="19">
        <v>560</v>
      </c>
      <c r="H70" s="19">
        <f>560-185</f>
        <v>375</v>
      </c>
      <c r="I70" s="19">
        <f>147+38</f>
        <v>185</v>
      </c>
      <c r="K70" s="19">
        <f>465+11</f>
        <v>476</v>
      </c>
      <c r="L70" s="19">
        <f t="shared" si="10"/>
        <v>241</v>
      </c>
      <c r="M70" s="19">
        <f>233+2</f>
        <v>235</v>
      </c>
      <c r="O70" s="19">
        <f>276+38</f>
        <v>314</v>
      </c>
      <c r="P70" s="19">
        <f>O70-Q70</f>
        <v>146</v>
      </c>
      <c r="Q70" s="19">
        <f>140+28</f>
        <v>168</v>
      </c>
      <c r="S70" s="22">
        <v>762</v>
      </c>
      <c r="T70" s="22">
        <f t="shared" si="13"/>
        <v>347</v>
      </c>
      <c r="U70" s="22">
        <v>415</v>
      </c>
      <c r="W70" s="22">
        <f>466+117</f>
        <v>583</v>
      </c>
      <c r="X70" s="22">
        <f t="shared" si="11"/>
        <v>98</v>
      </c>
      <c r="Y70" s="22">
        <f>376+109</f>
        <v>485</v>
      </c>
    </row>
    <row r="71" spans="1:24" ht="15" customHeight="1">
      <c r="A71" s="14"/>
      <c r="B71" s="53"/>
      <c r="C71" s="56"/>
      <c r="D71" s="56"/>
      <c r="E71" s="56"/>
      <c r="F71" s="53"/>
      <c r="G71" s="56"/>
      <c r="H71" s="56"/>
      <c r="I71" s="56"/>
      <c r="K71" s="55"/>
      <c r="L71" s="55"/>
      <c r="M71" s="55"/>
      <c r="O71" s="55"/>
      <c r="P71" s="55"/>
      <c r="Q71" s="55"/>
      <c r="X71" s="54">
        <f t="shared" si="11"/>
        <v>0</v>
      </c>
    </row>
    <row r="72" spans="1:25" ht="18" customHeight="1">
      <c r="A72" s="6" t="s">
        <v>38</v>
      </c>
      <c r="C72" s="48">
        <v>39153</v>
      </c>
      <c r="D72" s="48">
        <v>39153</v>
      </c>
      <c r="E72" s="57">
        <v>0</v>
      </c>
      <c r="G72" s="48">
        <v>29911</v>
      </c>
      <c r="H72" s="48">
        <f>29911-0</f>
        <v>29911</v>
      </c>
      <c r="I72" s="57">
        <v>0</v>
      </c>
      <c r="K72" s="48">
        <v>29365</v>
      </c>
      <c r="L72" s="48">
        <f t="shared" si="10"/>
        <v>29365</v>
      </c>
      <c r="M72" s="57">
        <v>0</v>
      </c>
      <c r="O72" s="43">
        <v>25355</v>
      </c>
      <c r="P72" s="43">
        <f>O72-Q72</f>
        <v>25355</v>
      </c>
      <c r="Q72" s="58">
        <v>0</v>
      </c>
      <c r="S72" s="43">
        <v>26723</v>
      </c>
      <c r="T72" s="43">
        <f>S72-U72</f>
        <v>26723</v>
      </c>
      <c r="U72" s="58">
        <v>0</v>
      </c>
      <c r="W72" s="43">
        <v>31270</v>
      </c>
      <c r="X72" s="54">
        <f t="shared" si="11"/>
        <v>31270</v>
      </c>
      <c r="Y72" s="58">
        <v>0</v>
      </c>
    </row>
    <row r="73" spans="1:25" ht="15" customHeight="1">
      <c r="A73" s="13" t="s">
        <v>18</v>
      </c>
      <c r="C73" s="47">
        <v>39153</v>
      </c>
      <c r="D73" s="47">
        <v>39153</v>
      </c>
      <c r="E73" s="51">
        <v>0</v>
      </c>
      <c r="G73" s="47">
        <v>29911</v>
      </c>
      <c r="H73" s="47">
        <v>29911</v>
      </c>
      <c r="I73" s="51">
        <f aca="true" t="shared" si="14" ref="I73:I82">G73-H73</f>
        <v>0</v>
      </c>
      <c r="K73" s="47">
        <v>29365</v>
      </c>
      <c r="L73" s="47">
        <f t="shared" si="10"/>
        <v>29365</v>
      </c>
      <c r="M73" s="51">
        <v>0</v>
      </c>
      <c r="O73" s="47">
        <v>25355</v>
      </c>
      <c r="P73" s="47">
        <v>25355</v>
      </c>
      <c r="Q73" s="51">
        <v>0</v>
      </c>
      <c r="S73" s="45">
        <v>26723</v>
      </c>
      <c r="T73" s="45">
        <f>S73-U73</f>
        <v>26723</v>
      </c>
      <c r="U73" s="58">
        <v>0</v>
      </c>
      <c r="W73" s="45">
        <v>31270</v>
      </c>
      <c r="X73" s="18">
        <f t="shared" si="11"/>
        <v>31270</v>
      </c>
      <c r="Y73" s="59">
        <v>0</v>
      </c>
    </row>
    <row r="74" spans="1:24" ht="15" customHeight="1">
      <c r="A74" s="14"/>
      <c r="C74" s="60"/>
      <c r="D74" s="60"/>
      <c r="E74" s="55"/>
      <c r="G74" s="60"/>
      <c r="H74" s="60"/>
      <c r="I74" s="56"/>
      <c r="K74" s="55"/>
      <c r="L74" s="55"/>
      <c r="M74" s="55"/>
      <c r="O74" s="55"/>
      <c r="P74" s="55"/>
      <c r="Q74" s="55"/>
      <c r="X74" s="54">
        <f t="shared" si="11"/>
        <v>0</v>
      </c>
    </row>
    <row r="75" spans="1:25" ht="18" customHeight="1">
      <c r="A75" s="6" t="s">
        <v>39</v>
      </c>
      <c r="C75" s="48">
        <v>141680</v>
      </c>
      <c r="D75" s="48">
        <v>111815</v>
      </c>
      <c r="E75" s="48">
        <v>29865</v>
      </c>
      <c r="G75" s="48">
        <f>158207-13723</f>
        <v>144484</v>
      </c>
      <c r="H75" s="48">
        <f>144484-19608</f>
        <v>124876</v>
      </c>
      <c r="I75" s="48">
        <f>22053-2445</f>
        <v>19608</v>
      </c>
      <c r="K75" s="48">
        <f>106645-4171</f>
        <v>102474</v>
      </c>
      <c r="L75" s="48">
        <f t="shared" si="10"/>
        <v>84827</v>
      </c>
      <c r="M75" s="48">
        <f>19483-1836</f>
        <v>17647</v>
      </c>
      <c r="O75" s="43">
        <f>83559-6082</f>
        <v>77477</v>
      </c>
      <c r="P75" s="43">
        <f aca="true" t="shared" si="15" ref="P75:P81">O75-Q75</f>
        <v>68552</v>
      </c>
      <c r="Q75" s="43">
        <f>11196-2271</f>
        <v>8925</v>
      </c>
      <c r="S75" s="43">
        <v>73709</v>
      </c>
      <c r="T75" s="43">
        <f>S75-U75</f>
        <v>61166</v>
      </c>
      <c r="U75" s="43">
        <v>12543</v>
      </c>
      <c r="W75" s="43">
        <v>62535</v>
      </c>
      <c r="X75" s="43">
        <f t="shared" si="11"/>
        <v>51295</v>
      </c>
      <c r="Y75" s="43">
        <v>11240</v>
      </c>
    </row>
    <row r="76" spans="1:25" s="28" customFormat="1" ht="15" customHeight="1">
      <c r="A76" s="10" t="s">
        <v>4</v>
      </c>
      <c r="B76" s="9"/>
      <c r="C76" s="19">
        <v>128906</v>
      </c>
      <c r="D76" s="19">
        <f>128906-27563</f>
        <v>101343</v>
      </c>
      <c r="E76" s="19">
        <v>27563</v>
      </c>
      <c r="F76" s="10"/>
      <c r="G76" s="19">
        <v>129552</v>
      </c>
      <c r="H76" s="19">
        <f>129552-17333</f>
        <v>112219</v>
      </c>
      <c r="I76" s="19">
        <v>17333</v>
      </c>
      <c r="K76" s="19">
        <v>85691</v>
      </c>
      <c r="L76" s="19">
        <f t="shared" si="10"/>
        <v>69603</v>
      </c>
      <c r="M76" s="19">
        <v>16088</v>
      </c>
      <c r="O76" s="19">
        <v>46338</v>
      </c>
      <c r="P76" s="19">
        <f t="shared" si="15"/>
        <v>38574</v>
      </c>
      <c r="Q76" s="19">
        <v>7764</v>
      </c>
      <c r="S76" s="22">
        <v>45108</v>
      </c>
      <c r="T76" s="22">
        <f>S76-U76</f>
        <v>35723</v>
      </c>
      <c r="U76" s="22">
        <v>9385</v>
      </c>
      <c r="W76" s="22">
        <v>33867</v>
      </c>
      <c r="X76" s="22">
        <f t="shared" si="11"/>
        <v>25808</v>
      </c>
      <c r="Y76" s="22">
        <v>8059</v>
      </c>
    </row>
    <row r="77" spans="1:25" s="24" customFormat="1" ht="15" customHeight="1">
      <c r="A77" s="49" t="s">
        <v>0</v>
      </c>
      <c r="B77" s="10"/>
      <c r="C77" s="19">
        <v>1505</v>
      </c>
      <c r="D77" s="19">
        <f>1505-82</f>
        <v>1423</v>
      </c>
      <c r="E77" s="19">
        <f>C77-D77</f>
        <v>82</v>
      </c>
      <c r="F77" s="10"/>
      <c r="G77" s="19">
        <v>1688</v>
      </c>
      <c r="H77" s="19">
        <f>1688-196</f>
        <v>1492</v>
      </c>
      <c r="I77" s="19">
        <f t="shared" si="14"/>
        <v>196</v>
      </c>
      <c r="K77" s="19">
        <v>895</v>
      </c>
      <c r="L77" s="19">
        <f t="shared" si="10"/>
        <v>609</v>
      </c>
      <c r="M77" s="19">
        <v>286</v>
      </c>
      <c r="O77" s="19">
        <v>997</v>
      </c>
      <c r="P77" s="19">
        <f t="shared" si="15"/>
        <v>648</v>
      </c>
      <c r="Q77" s="19">
        <v>349</v>
      </c>
      <c r="S77" s="22">
        <v>651</v>
      </c>
      <c r="T77" s="22">
        <f aca="true" t="shared" si="16" ref="T77:T82">S77-U77</f>
        <v>458</v>
      </c>
      <c r="U77" s="22">
        <v>193</v>
      </c>
      <c r="W77" s="22">
        <v>707</v>
      </c>
      <c r="X77" s="22">
        <f t="shared" si="11"/>
        <v>536</v>
      </c>
      <c r="Y77" s="22">
        <v>171</v>
      </c>
    </row>
    <row r="78" spans="1:25" s="24" customFormat="1" ht="15" customHeight="1">
      <c r="A78" s="49" t="s">
        <v>9</v>
      </c>
      <c r="B78" s="10"/>
      <c r="C78" s="50">
        <v>0</v>
      </c>
      <c r="D78" s="50">
        <v>0</v>
      </c>
      <c r="E78" s="50">
        <f>C78-D78</f>
        <v>0</v>
      </c>
      <c r="F78" s="10"/>
      <c r="G78" s="19">
        <v>30</v>
      </c>
      <c r="H78" s="19">
        <f>30-19</f>
        <v>11</v>
      </c>
      <c r="I78" s="19">
        <f t="shared" si="14"/>
        <v>19</v>
      </c>
      <c r="K78" s="19">
        <v>1</v>
      </c>
      <c r="L78" s="19">
        <f t="shared" si="10"/>
        <v>1</v>
      </c>
      <c r="M78" s="50">
        <v>0</v>
      </c>
      <c r="O78" s="19">
        <v>54</v>
      </c>
      <c r="P78" s="50">
        <f t="shared" si="15"/>
        <v>0</v>
      </c>
      <c r="Q78" s="19">
        <v>54</v>
      </c>
      <c r="S78" s="52">
        <v>0</v>
      </c>
      <c r="T78" s="52">
        <f t="shared" si="16"/>
        <v>0</v>
      </c>
      <c r="U78" s="52">
        <v>0</v>
      </c>
      <c r="W78" s="52">
        <v>0</v>
      </c>
      <c r="X78" s="52">
        <f t="shared" si="11"/>
        <v>0</v>
      </c>
      <c r="Y78" s="52">
        <v>0</v>
      </c>
    </row>
    <row r="79" spans="1:25" s="24" customFormat="1" ht="15" customHeight="1">
      <c r="A79" s="49" t="s">
        <v>2</v>
      </c>
      <c r="B79" s="10"/>
      <c r="C79" s="19">
        <v>9298</v>
      </c>
      <c r="D79" s="19">
        <f>9298-1595</f>
        <v>7703</v>
      </c>
      <c r="E79" s="19">
        <f>C79-D79</f>
        <v>1595</v>
      </c>
      <c r="F79" s="10"/>
      <c r="G79" s="19">
        <v>11685</v>
      </c>
      <c r="H79" s="19">
        <f>11685-1799</f>
        <v>9886</v>
      </c>
      <c r="I79" s="19">
        <f t="shared" si="14"/>
        <v>1799</v>
      </c>
      <c r="K79" s="19">
        <v>14947</v>
      </c>
      <c r="L79" s="19">
        <f t="shared" si="10"/>
        <v>13802</v>
      </c>
      <c r="M79" s="19">
        <v>1145</v>
      </c>
      <c r="O79" s="19">
        <v>29235</v>
      </c>
      <c r="P79" s="19">
        <f t="shared" si="15"/>
        <v>28641</v>
      </c>
      <c r="Q79" s="19">
        <v>594</v>
      </c>
      <c r="S79" s="22">
        <v>26909</v>
      </c>
      <c r="T79" s="22">
        <f t="shared" si="16"/>
        <v>24177</v>
      </c>
      <c r="U79" s="22">
        <v>2732</v>
      </c>
      <c r="W79" s="22">
        <v>27055</v>
      </c>
      <c r="X79" s="22">
        <f t="shared" si="11"/>
        <v>24296</v>
      </c>
      <c r="Y79" s="22">
        <v>2759</v>
      </c>
    </row>
    <row r="80" spans="1:25" s="24" customFormat="1" ht="15" customHeight="1">
      <c r="A80" s="49" t="s">
        <v>3</v>
      </c>
      <c r="B80" s="10"/>
      <c r="C80" s="19">
        <v>214</v>
      </c>
      <c r="D80" s="19">
        <f>214-3</f>
        <v>211</v>
      </c>
      <c r="E80" s="19">
        <f>C80-D80</f>
        <v>3</v>
      </c>
      <c r="F80" s="10"/>
      <c r="G80" s="19">
        <v>226</v>
      </c>
      <c r="H80" s="19">
        <f>226-140</f>
        <v>86</v>
      </c>
      <c r="I80" s="19">
        <f t="shared" si="14"/>
        <v>140</v>
      </c>
      <c r="K80" s="19">
        <v>266</v>
      </c>
      <c r="L80" s="19">
        <f t="shared" si="10"/>
        <v>238</v>
      </c>
      <c r="M80" s="19">
        <v>28</v>
      </c>
      <c r="O80" s="19">
        <v>259</v>
      </c>
      <c r="P80" s="19">
        <f t="shared" si="15"/>
        <v>257</v>
      </c>
      <c r="Q80" s="19">
        <v>2</v>
      </c>
      <c r="S80" s="22">
        <v>285</v>
      </c>
      <c r="T80" s="22">
        <f t="shared" si="16"/>
        <v>281</v>
      </c>
      <c r="U80" s="22">
        <v>4</v>
      </c>
      <c r="W80" s="22">
        <v>310</v>
      </c>
      <c r="X80" s="22">
        <f t="shared" si="11"/>
        <v>304</v>
      </c>
      <c r="Y80" s="22">
        <v>6</v>
      </c>
    </row>
    <row r="81" spans="1:25" s="24" customFormat="1" ht="15" customHeight="1">
      <c r="A81" s="49" t="s">
        <v>1</v>
      </c>
      <c r="B81" s="10"/>
      <c r="C81" s="19">
        <v>409</v>
      </c>
      <c r="D81" s="19">
        <f>409-66</f>
        <v>343</v>
      </c>
      <c r="E81" s="19">
        <f>C81-D81</f>
        <v>66</v>
      </c>
      <c r="F81" s="10"/>
      <c r="G81" s="19">
        <v>166</v>
      </c>
      <c r="H81" s="19">
        <f>166-17</f>
        <v>149</v>
      </c>
      <c r="I81" s="19">
        <f t="shared" si="14"/>
        <v>17</v>
      </c>
      <c r="K81" s="19">
        <v>313</v>
      </c>
      <c r="L81" s="19">
        <f t="shared" si="10"/>
        <v>236</v>
      </c>
      <c r="M81" s="19">
        <v>77</v>
      </c>
      <c r="O81" s="19">
        <v>287</v>
      </c>
      <c r="P81" s="19">
        <f t="shared" si="15"/>
        <v>133</v>
      </c>
      <c r="Q81" s="19">
        <v>154</v>
      </c>
      <c r="S81" s="22">
        <v>409</v>
      </c>
      <c r="T81" s="22">
        <f t="shared" si="16"/>
        <v>183</v>
      </c>
      <c r="U81" s="22">
        <v>226</v>
      </c>
      <c r="W81" s="22">
        <v>349</v>
      </c>
      <c r="X81" s="22">
        <f t="shared" si="11"/>
        <v>106</v>
      </c>
      <c r="Y81" s="22">
        <v>243</v>
      </c>
    </row>
    <row r="82" spans="1:25" s="24" customFormat="1" ht="15" customHeight="1">
      <c r="A82" s="49" t="s">
        <v>19</v>
      </c>
      <c r="B82" s="10"/>
      <c r="C82" s="19">
        <v>1348</v>
      </c>
      <c r="D82" s="19">
        <f>1347-7-548</f>
        <v>792</v>
      </c>
      <c r="E82" s="19">
        <v>556</v>
      </c>
      <c r="F82" s="10"/>
      <c r="G82" s="19">
        <v>1137</v>
      </c>
      <c r="H82" s="19">
        <f>1137-104</f>
        <v>1033</v>
      </c>
      <c r="I82" s="19">
        <f t="shared" si="14"/>
        <v>104</v>
      </c>
      <c r="K82" s="19">
        <f>25+336</f>
        <v>361</v>
      </c>
      <c r="L82" s="19">
        <f t="shared" si="10"/>
        <v>338</v>
      </c>
      <c r="M82" s="19">
        <v>23</v>
      </c>
      <c r="O82" s="19">
        <v>307</v>
      </c>
      <c r="P82" s="19">
        <f>307-8</f>
        <v>299</v>
      </c>
      <c r="Q82" s="19">
        <v>8</v>
      </c>
      <c r="S82" s="22">
        <v>347</v>
      </c>
      <c r="T82" s="22">
        <f t="shared" si="16"/>
        <v>344</v>
      </c>
      <c r="U82" s="22">
        <v>3</v>
      </c>
      <c r="W82" s="22">
        <v>247</v>
      </c>
      <c r="X82" s="22">
        <f t="shared" si="11"/>
        <v>245</v>
      </c>
      <c r="Y82" s="22">
        <v>2</v>
      </c>
    </row>
    <row r="84" ht="15" customHeight="1">
      <c r="A84" s="13" t="s">
        <v>14</v>
      </c>
    </row>
    <row r="85" spans="1:17" s="30" customFormat="1" ht="15" customHeight="1">
      <c r="A85" s="88" t="s">
        <v>15</v>
      </c>
      <c r="B85" s="88"/>
      <c r="C85" s="88"/>
      <c r="D85" s="88"/>
      <c r="E85" s="88"/>
      <c r="F85" s="88"/>
      <c r="G85" s="88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s="30" customFormat="1" ht="15" customHeight="1">
      <c r="A86" s="90" t="s">
        <v>16</v>
      </c>
      <c r="B86" s="90"/>
      <c r="C86" s="90"/>
      <c r="D86" s="90"/>
      <c r="E86" s="90"/>
      <c r="F86" s="90"/>
      <c r="G86" s="90"/>
      <c r="H86" s="90"/>
      <c r="I86" s="90"/>
      <c r="J86" s="90"/>
      <c r="K86" s="16"/>
      <c r="L86" s="16"/>
      <c r="M86" s="16"/>
      <c r="N86" s="16"/>
      <c r="O86" s="16"/>
      <c r="P86" s="16"/>
      <c r="Q86" s="16"/>
    </row>
    <row r="87" spans="1:11" ht="15" customHeight="1">
      <c r="A87" s="88" t="s">
        <v>6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9" ht="15" customHeight="1">
      <c r="A89" s="3" t="s">
        <v>21</v>
      </c>
    </row>
  </sheetData>
  <sheetProtection/>
  <mergeCells count="18">
    <mergeCell ref="S50:U50"/>
    <mergeCell ref="B4:G4"/>
    <mergeCell ref="K8:M8"/>
    <mergeCell ref="G50:I50"/>
    <mergeCell ref="K50:M50"/>
    <mergeCell ref="O8:Q8"/>
    <mergeCell ref="B5:U5"/>
    <mergeCell ref="B6:U6"/>
    <mergeCell ref="W8:Y8"/>
    <mergeCell ref="W50:Y50"/>
    <mergeCell ref="A87:K87"/>
    <mergeCell ref="C50:E50"/>
    <mergeCell ref="C8:E8"/>
    <mergeCell ref="G8:I8"/>
    <mergeCell ref="O50:Q50"/>
    <mergeCell ref="A85:G85"/>
    <mergeCell ref="A86:J86"/>
    <mergeCell ref="S8:U8"/>
  </mergeCells>
  <printOptions/>
  <pageMargins left="0.25" right="0.25" top="0.75" bottom="0.75" header="0.3" footer="0.3"/>
  <pageSetup horizontalDpi="600" verticalDpi="600" orientation="landscape" paperSize="5" scale="70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4"/>
  <sheetViews>
    <sheetView showGridLines="0" zoomScale="85" zoomScaleNormal="85" zoomScalePageLayoutView="0" workbookViewId="0" topLeftCell="A1">
      <pane xSplit="1" topLeftCell="H1" activePane="topRight" state="frozen"/>
      <selection pane="topLeft" activeCell="A1" sqref="A1"/>
      <selection pane="topRight" activeCell="A38" sqref="A38"/>
    </sheetView>
  </sheetViews>
  <sheetFormatPr defaultColWidth="9.140625" defaultRowHeight="15" customHeight="1"/>
  <cols>
    <col min="1" max="1" width="76.421875" style="3" customWidth="1"/>
    <col min="2" max="2" width="1.57421875" style="3" customWidth="1"/>
    <col min="3" max="5" width="13.7109375" style="3" customWidth="1"/>
    <col min="6" max="6" width="2.7109375" style="3" customWidth="1"/>
    <col min="7" max="9" width="13.7109375" style="3" customWidth="1"/>
    <col min="10" max="10" width="2.7109375" style="3" customWidth="1"/>
    <col min="11" max="13" width="13.7109375" style="3" customWidth="1"/>
    <col min="14" max="14" width="2.7109375" style="3" customWidth="1"/>
    <col min="15" max="17" width="13.7109375" style="3" customWidth="1"/>
    <col min="18" max="18" width="2.7109375" style="3" customWidth="1"/>
    <col min="19" max="21" width="14.00390625" style="3" customWidth="1"/>
    <col min="22" max="16384" width="9.140625" style="3" customWidth="1"/>
  </cols>
  <sheetData>
    <row r="2" spans="2:7" ht="15" customHeight="1">
      <c r="B2" s="91"/>
      <c r="C2" s="91"/>
      <c r="D2" s="91"/>
      <c r="E2" s="91"/>
      <c r="F2" s="91"/>
      <c r="G2" s="91"/>
    </row>
    <row r="3" spans="2:21" ht="15" customHeight="1">
      <c r="B3" s="92" t="s">
        <v>10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2:21" ht="15" customHeight="1">
      <c r="B4" s="93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3:18" ht="15" customHeight="1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 ht="15" customHeight="1">
      <c r="A6" s="4"/>
      <c r="B6" s="38"/>
      <c r="C6" s="89">
        <v>2012</v>
      </c>
      <c r="D6" s="89"/>
      <c r="E6" s="89"/>
      <c r="F6" s="38"/>
      <c r="G6" s="89">
        <v>2013</v>
      </c>
      <c r="H6" s="89"/>
      <c r="I6" s="89"/>
      <c r="K6" s="89">
        <v>2014</v>
      </c>
      <c r="L6" s="89"/>
      <c r="M6" s="89"/>
      <c r="O6" s="89">
        <v>2015</v>
      </c>
      <c r="P6" s="89"/>
      <c r="Q6" s="89"/>
      <c r="S6" s="89">
        <v>2016</v>
      </c>
      <c r="T6" s="89"/>
      <c r="U6" s="89"/>
    </row>
    <row r="7" spans="2:21" ht="15" customHeight="1" thickBot="1">
      <c r="B7" s="39"/>
      <c r="C7" s="1" t="s">
        <v>5</v>
      </c>
      <c r="D7" s="1" t="s">
        <v>8</v>
      </c>
      <c r="E7" s="1" t="s">
        <v>7</v>
      </c>
      <c r="F7" s="41"/>
      <c r="G7" s="1" t="s">
        <v>5</v>
      </c>
      <c r="H7" s="1" t="s">
        <v>8</v>
      </c>
      <c r="I7" s="1" t="s">
        <v>7</v>
      </c>
      <c r="K7" s="1" t="s">
        <v>5</v>
      </c>
      <c r="L7" s="1" t="s">
        <v>8</v>
      </c>
      <c r="M7" s="1" t="s">
        <v>7</v>
      </c>
      <c r="O7" s="1" t="s">
        <v>5</v>
      </c>
      <c r="P7" s="1" t="s">
        <v>8</v>
      </c>
      <c r="Q7" s="1" t="s">
        <v>7</v>
      </c>
      <c r="S7" s="1" t="s">
        <v>5</v>
      </c>
      <c r="T7" s="1" t="s">
        <v>8</v>
      </c>
      <c r="U7" s="1" t="s">
        <v>7</v>
      </c>
    </row>
    <row r="8" spans="1:21" ht="19.5" customHeight="1" thickTop="1">
      <c r="A8" s="5" t="s">
        <v>50</v>
      </c>
      <c r="B8" s="26"/>
      <c r="C8" s="69">
        <f>C10+C14</f>
        <v>1438025</v>
      </c>
      <c r="D8" s="69">
        <f aca="true" t="shared" si="0" ref="D8:Q8">D10+D14</f>
        <v>1018235</v>
      </c>
      <c r="E8" s="69">
        <f t="shared" si="0"/>
        <v>419790</v>
      </c>
      <c r="F8" s="69"/>
      <c r="G8" s="69">
        <f t="shared" si="0"/>
        <v>1407725</v>
      </c>
      <c r="H8" s="69">
        <f t="shared" si="0"/>
        <v>1057965</v>
      </c>
      <c r="I8" s="69">
        <f t="shared" si="0"/>
        <v>349760</v>
      </c>
      <c r="J8" s="69"/>
      <c r="K8" s="69">
        <f t="shared" si="0"/>
        <v>1441963</v>
      </c>
      <c r="L8" s="69">
        <f t="shared" si="0"/>
        <v>1073440</v>
      </c>
      <c r="M8" s="69">
        <f t="shared" si="0"/>
        <v>368523</v>
      </c>
      <c r="N8" s="69"/>
      <c r="O8" s="69">
        <f t="shared" si="0"/>
        <v>1175697</v>
      </c>
      <c r="P8" s="69">
        <f t="shared" si="0"/>
        <v>842429</v>
      </c>
      <c r="Q8" s="69">
        <f t="shared" si="0"/>
        <v>333268</v>
      </c>
      <c r="S8" s="69">
        <f>T8+U8</f>
        <v>1041854</v>
      </c>
      <c r="T8" s="69">
        <f>T10+T14</f>
        <v>737491</v>
      </c>
      <c r="U8" s="69">
        <f>U10+U14</f>
        <v>304363</v>
      </c>
    </row>
    <row r="9" spans="1:17" ht="12" customHeight="1">
      <c r="A9" s="62"/>
      <c r="B9" s="26"/>
      <c r="C9" s="74"/>
      <c r="D9" s="74"/>
      <c r="E9" s="74"/>
      <c r="F9" s="70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21" s="24" customFormat="1" ht="15" customHeight="1">
      <c r="A10" s="7" t="s">
        <v>43</v>
      </c>
      <c r="C10" s="71">
        <f>C11+C12</f>
        <v>1436116</v>
      </c>
      <c r="D10" s="71">
        <f aca="true" t="shared" si="1" ref="D10:U10">D11+D12</f>
        <v>1018152</v>
      </c>
      <c r="E10" s="71">
        <f t="shared" si="1"/>
        <v>417964</v>
      </c>
      <c r="F10" s="71"/>
      <c r="G10" s="71">
        <f t="shared" si="1"/>
        <v>1405692</v>
      </c>
      <c r="H10" s="71">
        <f t="shared" si="1"/>
        <v>1057905</v>
      </c>
      <c r="I10" s="71">
        <f t="shared" si="1"/>
        <v>347787</v>
      </c>
      <c r="J10" s="71"/>
      <c r="K10" s="71">
        <f t="shared" si="1"/>
        <v>1439806</v>
      </c>
      <c r="L10" s="71">
        <f t="shared" si="1"/>
        <v>1073370</v>
      </c>
      <c r="M10" s="71">
        <f t="shared" si="1"/>
        <v>366436</v>
      </c>
      <c r="N10" s="71"/>
      <c r="O10" s="71">
        <f t="shared" si="1"/>
        <v>1173434</v>
      </c>
      <c r="P10" s="71">
        <f t="shared" si="1"/>
        <v>842376</v>
      </c>
      <c r="Q10" s="71">
        <f t="shared" si="1"/>
        <v>331058</v>
      </c>
      <c r="S10" s="71">
        <f t="shared" si="1"/>
        <v>1039639</v>
      </c>
      <c r="T10" s="71">
        <f t="shared" si="1"/>
        <v>737245</v>
      </c>
      <c r="U10" s="71">
        <f t="shared" si="1"/>
        <v>302394</v>
      </c>
    </row>
    <row r="11" spans="1:21" s="28" customFormat="1" ht="15" customHeight="1">
      <c r="A11" s="8" t="s">
        <v>52</v>
      </c>
      <c r="B11" s="63"/>
      <c r="C11" s="76">
        <v>32951</v>
      </c>
      <c r="D11" s="76">
        <v>20882</v>
      </c>
      <c r="E11" s="76">
        <v>12069</v>
      </c>
      <c r="F11" s="8"/>
      <c r="G11" s="19">
        <v>30283</v>
      </c>
      <c r="H11" s="19">
        <v>17030</v>
      </c>
      <c r="I11" s="19">
        <v>13253</v>
      </c>
      <c r="K11" s="19">
        <v>24844</v>
      </c>
      <c r="L11" s="19">
        <f>K11-M11</f>
        <v>17060</v>
      </c>
      <c r="M11" s="19">
        <v>7784</v>
      </c>
      <c r="O11" s="19">
        <v>27279</v>
      </c>
      <c r="P11" s="19">
        <f>+O11-Q11</f>
        <v>16023</v>
      </c>
      <c r="Q11" s="19">
        <v>11256</v>
      </c>
      <c r="S11" s="37">
        <f>T11+U11</f>
        <v>17797</v>
      </c>
      <c r="T11" s="37">
        <f>T16</f>
        <v>5563</v>
      </c>
      <c r="U11" s="37">
        <f>U16</f>
        <v>12234</v>
      </c>
    </row>
    <row r="12" spans="1:21" s="28" customFormat="1" ht="15" customHeight="1">
      <c r="A12" s="8" t="s">
        <v>55</v>
      </c>
      <c r="C12" s="76">
        <v>1403165</v>
      </c>
      <c r="D12" s="76">
        <v>997270</v>
      </c>
      <c r="E12" s="76">
        <v>405895</v>
      </c>
      <c r="F12" s="8"/>
      <c r="G12" s="19">
        <v>1375409</v>
      </c>
      <c r="H12" s="19">
        <v>1040875</v>
      </c>
      <c r="I12" s="19">
        <v>334534</v>
      </c>
      <c r="K12" s="19">
        <v>1414962</v>
      </c>
      <c r="L12" s="19">
        <f>K12-M12</f>
        <v>1056310</v>
      </c>
      <c r="M12" s="19">
        <v>358652</v>
      </c>
      <c r="O12" s="19">
        <v>1146155</v>
      </c>
      <c r="P12" s="19">
        <f>+O12-Q12</f>
        <v>826353</v>
      </c>
      <c r="Q12" s="19">
        <v>319802</v>
      </c>
      <c r="S12" s="37">
        <f>T12+U12</f>
        <v>1021842</v>
      </c>
      <c r="T12" s="37">
        <f>T21</f>
        <v>731682</v>
      </c>
      <c r="U12" s="37">
        <f>U21</f>
        <v>290160</v>
      </c>
    </row>
    <row r="13" spans="1:17" ht="7.5" customHeight="1">
      <c r="A13" s="9"/>
      <c r="B13" s="64"/>
      <c r="C13" s="76"/>
      <c r="D13" s="76"/>
      <c r="E13" s="76"/>
      <c r="F13" s="9"/>
      <c r="G13" s="19"/>
      <c r="H13" s="19"/>
      <c r="I13" s="19"/>
      <c r="K13" s="19"/>
      <c r="L13" s="19"/>
      <c r="M13" s="19"/>
      <c r="O13" s="19"/>
      <c r="P13" s="19"/>
      <c r="Q13" s="19"/>
    </row>
    <row r="14" spans="1:21" s="75" customFormat="1" ht="15.75" customHeight="1">
      <c r="A14" s="7" t="s">
        <v>57</v>
      </c>
      <c r="B14" s="65"/>
      <c r="C14" s="71">
        <v>1909</v>
      </c>
      <c r="D14" s="71">
        <f>C14-E14</f>
        <v>83</v>
      </c>
      <c r="E14" s="71">
        <v>1826</v>
      </c>
      <c r="F14" s="71"/>
      <c r="G14" s="71">
        <v>2033</v>
      </c>
      <c r="H14" s="71">
        <f>G14-I14</f>
        <v>60</v>
      </c>
      <c r="I14" s="71">
        <v>1973</v>
      </c>
      <c r="J14" s="71"/>
      <c r="K14" s="71">
        <v>2157</v>
      </c>
      <c r="L14" s="71">
        <f>K14-M14</f>
        <v>70</v>
      </c>
      <c r="M14" s="71">
        <v>2087</v>
      </c>
      <c r="N14" s="71"/>
      <c r="O14" s="71">
        <v>2263</v>
      </c>
      <c r="P14" s="71">
        <v>53</v>
      </c>
      <c r="Q14" s="71">
        <v>2210</v>
      </c>
      <c r="S14" s="71">
        <v>2215</v>
      </c>
      <c r="T14" s="71">
        <v>246</v>
      </c>
      <c r="U14" s="71">
        <v>1969</v>
      </c>
    </row>
    <row r="15" spans="1:17" ht="7.5" customHeight="1">
      <c r="A15" s="9"/>
      <c r="B15" s="26"/>
      <c r="C15" s="19"/>
      <c r="D15" s="19"/>
      <c r="E15" s="19"/>
      <c r="F15" s="9"/>
      <c r="G15" s="19"/>
      <c r="H15" s="19"/>
      <c r="I15" s="19"/>
      <c r="K15" s="19"/>
      <c r="L15" s="19"/>
      <c r="M15" s="19"/>
      <c r="O15" s="19"/>
      <c r="P15" s="19"/>
      <c r="Q15" s="19"/>
    </row>
    <row r="16" spans="1:21" ht="18" customHeight="1">
      <c r="A16" s="7" t="s">
        <v>51</v>
      </c>
      <c r="B16" s="26"/>
      <c r="C16" s="32">
        <f>SUM(C17:C19)</f>
        <v>32951</v>
      </c>
      <c r="D16" s="32">
        <f aca="true" t="shared" si="2" ref="D16:P16">SUM(D17:D19)</f>
        <v>20882</v>
      </c>
      <c r="E16" s="32">
        <f t="shared" si="2"/>
        <v>12069</v>
      </c>
      <c r="F16" s="32"/>
      <c r="G16" s="32">
        <f t="shared" si="2"/>
        <v>30283</v>
      </c>
      <c r="H16" s="32">
        <f t="shared" si="2"/>
        <v>17030</v>
      </c>
      <c r="I16" s="32">
        <f t="shared" si="2"/>
        <v>13253</v>
      </c>
      <c r="J16" s="32"/>
      <c r="K16" s="32">
        <f t="shared" si="2"/>
        <v>24844</v>
      </c>
      <c r="L16" s="32">
        <f t="shared" si="2"/>
        <v>17060</v>
      </c>
      <c r="M16" s="32">
        <f t="shared" si="2"/>
        <v>7784</v>
      </c>
      <c r="N16" s="32"/>
      <c r="O16" s="32">
        <f t="shared" si="2"/>
        <v>27279</v>
      </c>
      <c r="P16" s="32">
        <f t="shared" si="2"/>
        <v>16023</v>
      </c>
      <c r="Q16" s="32">
        <f>SUM(Q17:Q19)</f>
        <v>11256</v>
      </c>
      <c r="S16" s="77">
        <f>SUM(S17:S19)</f>
        <v>17797</v>
      </c>
      <c r="T16" s="77">
        <f>SUM(T17:T19)</f>
        <v>5563</v>
      </c>
      <c r="U16" s="77">
        <f>SUM(U17:U19)</f>
        <v>12234</v>
      </c>
    </row>
    <row r="17" spans="1:21" s="28" customFormat="1" ht="15" customHeight="1">
      <c r="A17" s="9" t="s">
        <v>47</v>
      </c>
      <c r="B17" s="63"/>
      <c r="C17" s="76">
        <v>18302</v>
      </c>
      <c r="D17" s="76">
        <v>11439</v>
      </c>
      <c r="E17" s="76">
        <v>6863</v>
      </c>
      <c r="F17" s="9"/>
      <c r="G17" s="19">
        <v>15685</v>
      </c>
      <c r="H17" s="19">
        <v>7092</v>
      </c>
      <c r="I17" s="19">
        <v>8593</v>
      </c>
      <c r="K17" s="19">
        <v>11342</v>
      </c>
      <c r="L17" s="19">
        <f>K17-M17</f>
        <v>6852</v>
      </c>
      <c r="M17" s="19">
        <v>4490</v>
      </c>
      <c r="O17" s="19">
        <v>16618</v>
      </c>
      <c r="P17" s="19">
        <f>O17-Q17</f>
        <v>12521</v>
      </c>
      <c r="Q17" s="19">
        <v>4097</v>
      </c>
      <c r="S17" s="34">
        <f>+T17+U17</f>
        <v>10059</v>
      </c>
      <c r="T17" s="34">
        <v>2003</v>
      </c>
      <c r="U17" s="34">
        <v>8056</v>
      </c>
    </row>
    <row r="18" spans="1:21" s="28" customFormat="1" ht="15" customHeight="1">
      <c r="A18" s="9" t="s">
        <v>48</v>
      </c>
      <c r="B18" s="63"/>
      <c r="C18" s="76">
        <v>13098</v>
      </c>
      <c r="D18" s="76">
        <v>8613</v>
      </c>
      <c r="E18" s="76">
        <v>4485</v>
      </c>
      <c r="F18" s="9"/>
      <c r="G18" s="19">
        <v>4602</v>
      </c>
      <c r="H18" s="19">
        <v>431</v>
      </c>
      <c r="I18" s="19">
        <v>4171</v>
      </c>
      <c r="K18" s="19">
        <v>3592</v>
      </c>
      <c r="L18" s="19">
        <f>K18-M18</f>
        <v>843</v>
      </c>
      <c r="M18" s="19">
        <v>2749</v>
      </c>
      <c r="O18" s="19">
        <v>2304</v>
      </c>
      <c r="P18" s="19">
        <f>O18-Q18</f>
        <v>334</v>
      </c>
      <c r="Q18" s="19">
        <v>1970</v>
      </c>
      <c r="S18" s="34">
        <f>+T18+U18</f>
        <v>1971</v>
      </c>
      <c r="T18" s="34">
        <v>516</v>
      </c>
      <c r="U18" s="34">
        <v>1455</v>
      </c>
    </row>
    <row r="19" spans="1:21" s="28" customFormat="1" ht="15" customHeight="1">
      <c r="A19" s="9" t="s">
        <v>49</v>
      </c>
      <c r="B19" s="63"/>
      <c r="C19" s="76">
        <v>1551</v>
      </c>
      <c r="D19" s="76">
        <v>830</v>
      </c>
      <c r="E19" s="76">
        <v>721</v>
      </c>
      <c r="F19" s="9"/>
      <c r="G19" s="19">
        <v>9996</v>
      </c>
      <c r="H19" s="19">
        <v>9507</v>
      </c>
      <c r="I19" s="19">
        <v>489</v>
      </c>
      <c r="K19" s="19">
        <v>9910</v>
      </c>
      <c r="L19" s="19">
        <f>K19-M19</f>
        <v>9365</v>
      </c>
      <c r="M19" s="19">
        <v>545</v>
      </c>
      <c r="O19" s="19">
        <v>8357</v>
      </c>
      <c r="P19" s="19">
        <f>O19-Q19</f>
        <v>3168</v>
      </c>
      <c r="Q19" s="19">
        <v>5189</v>
      </c>
      <c r="S19" s="34">
        <f>+T19+U19</f>
        <v>5767</v>
      </c>
      <c r="T19" s="34">
        <v>3044</v>
      </c>
      <c r="U19" s="78">
        <v>2723</v>
      </c>
    </row>
    <row r="20" spans="1:17" ht="8.25" customHeight="1">
      <c r="A20" s="6"/>
      <c r="B20" s="66"/>
      <c r="C20" s="43"/>
      <c r="D20" s="43"/>
      <c r="E20" s="43"/>
      <c r="F20" s="72"/>
      <c r="G20" s="43"/>
      <c r="H20" s="43"/>
      <c r="I20" s="43"/>
      <c r="J20" s="72"/>
      <c r="K20" s="43"/>
      <c r="L20" s="43"/>
      <c r="M20" s="43"/>
      <c r="O20" s="43"/>
      <c r="P20" s="43"/>
      <c r="Q20" s="43"/>
    </row>
    <row r="21" spans="1:21" ht="18" customHeight="1">
      <c r="A21" s="7" t="s">
        <v>44</v>
      </c>
      <c r="B21" s="26"/>
      <c r="C21" s="32">
        <f>C23+C32+C41</f>
        <v>1403165</v>
      </c>
      <c r="D21" s="32">
        <f aca="true" t="shared" si="3" ref="D21:Q21">D23+D32+D41</f>
        <v>997270</v>
      </c>
      <c r="E21" s="32">
        <f t="shared" si="3"/>
        <v>405895</v>
      </c>
      <c r="F21" s="32"/>
      <c r="G21" s="32">
        <f t="shared" si="3"/>
        <v>1375409</v>
      </c>
      <c r="H21" s="32">
        <f t="shared" si="3"/>
        <v>1040875</v>
      </c>
      <c r="I21" s="32">
        <f t="shared" si="3"/>
        <v>334534</v>
      </c>
      <c r="J21" s="32"/>
      <c r="K21" s="32">
        <f t="shared" si="3"/>
        <v>1414962</v>
      </c>
      <c r="L21" s="32">
        <f t="shared" si="3"/>
        <v>1056310</v>
      </c>
      <c r="M21" s="32">
        <f t="shared" si="3"/>
        <v>358652</v>
      </c>
      <c r="N21" s="32"/>
      <c r="O21" s="32">
        <f t="shared" si="3"/>
        <v>1146155</v>
      </c>
      <c r="P21" s="32">
        <f t="shared" si="3"/>
        <v>826353</v>
      </c>
      <c r="Q21" s="32">
        <f t="shared" si="3"/>
        <v>319802</v>
      </c>
      <c r="S21" s="77">
        <f>S23+S32+S41</f>
        <v>1021842</v>
      </c>
      <c r="T21" s="77">
        <f>T23+T32+T41</f>
        <v>731682</v>
      </c>
      <c r="U21" s="77">
        <f>U23+U32+U41</f>
        <v>290160</v>
      </c>
    </row>
    <row r="22" spans="1:17" ht="6.75" customHeight="1">
      <c r="A22" s="11"/>
      <c r="B22" s="26"/>
      <c r="C22" s="48"/>
      <c r="D22" s="48"/>
      <c r="E22" s="48"/>
      <c r="F22" s="44"/>
      <c r="G22" s="48"/>
      <c r="H22" s="48"/>
      <c r="I22" s="48"/>
      <c r="J22" s="26"/>
      <c r="K22" s="48"/>
      <c r="L22" s="48"/>
      <c r="M22" s="48"/>
      <c r="N22" s="26"/>
      <c r="O22" s="48"/>
      <c r="P22" s="48"/>
      <c r="Q22" s="48"/>
    </row>
    <row r="23" spans="1:21" ht="18" customHeight="1">
      <c r="A23" s="7" t="s">
        <v>64</v>
      </c>
      <c r="B23" s="26"/>
      <c r="C23" s="32">
        <v>1240306</v>
      </c>
      <c r="D23" s="32">
        <v>925493</v>
      </c>
      <c r="E23" s="32">
        <v>314813</v>
      </c>
      <c r="F23" s="32"/>
      <c r="G23" s="32">
        <v>1238514</v>
      </c>
      <c r="H23" s="32">
        <v>978231</v>
      </c>
      <c r="I23" s="32">
        <v>260283</v>
      </c>
      <c r="J23" s="32"/>
      <c r="K23" s="32">
        <f>SUM(K24:K30)</f>
        <v>1242927</v>
      </c>
      <c r="L23" s="32">
        <f aca="true" t="shared" si="4" ref="L23:R23">SUM(L24:L30)</f>
        <v>966586</v>
      </c>
      <c r="M23" s="32">
        <f t="shared" si="4"/>
        <v>276341</v>
      </c>
      <c r="N23" s="32">
        <f t="shared" si="4"/>
        <v>0</v>
      </c>
      <c r="O23" s="32">
        <f t="shared" si="4"/>
        <v>1004681</v>
      </c>
      <c r="P23" s="32">
        <f t="shared" si="4"/>
        <v>759636</v>
      </c>
      <c r="Q23" s="32">
        <f t="shared" si="4"/>
        <v>245045</v>
      </c>
      <c r="R23" s="32">
        <f t="shared" si="4"/>
        <v>0</v>
      </c>
      <c r="S23" s="77">
        <f>SUM(S24:S30)</f>
        <v>855981</v>
      </c>
      <c r="T23" s="77">
        <f>SUM(T24:T30)</f>
        <v>659120</v>
      </c>
      <c r="U23" s="77">
        <f>SUM(U24:U30)</f>
        <v>196861</v>
      </c>
    </row>
    <row r="24" spans="1:21" s="28" customFormat="1" ht="15" customHeight="1">
      <c r="A24" s="9" t="s">
        <v>4</v>
      </c>
      <c r="B24" s="67"/>
      <c r="C24" s="76">
        <v>1154506</v>
      </c>
      <c r="D24" s="76">
        <v>875331</v>
      </c>
      <c r="E24" s="76">
        <v>279175</v>
      </c>
      <c r="F24" s="10"/>
      <c r="G24" s="19">
        <v>1154917</v>
      </c>
      <c r="H24" s="19">
        <v>931863</v>
      </c>
      <c r="I24" s="19">
        <v>223054</v>
      </c>
      <c r="K24" s="19">
        <v>1154732</v>
      </c>
      <c r="L24" s="19">
        <f>K24-M24</f>
        <v>921967</v>
      </c>
      <c r="M24" s="19">
        <v>232765</v>
      </c>
      <c r="O24" s="22">
        <v>926011</v>
      </c>
      <c r="P24" s="19">
        <f>O24-Q24</f>
        <v>720227</v>
      </c>
      <c r="Q24" s="22">
        <v>205784</v>
      </c>
      <c r="S24" s="34">
        <f aca="true" t="shared" si="5" ref="S24:S29">+T24+U24</f>
        <v>787566</v>
      </c>
      <c r="T24" s="34">
        <v>622251</v>
      </c>
      <c r="U24" s="34">
        <v>165315</v>
      </c>
    </row>
    <row r="25" spans="1:21" s="24" customFormat="1" ht="15" customHeight="1">
      <c r="A25" s="12" t="s">
        <v>0</v>
      </c>
      <c r="B25" s="67"/>
      <c r="C25" s="76">
        <v>25259</v>
      </c>
      <c r="D25" s="76">
        <v>21593</v>
      </c>
      <c r="E25" s="76">
        <v>3666</v>
      </c>
      <c r="F25" s="10"/>
      <c r="G25" s="19">
        <v>26121</v>
      </c>
      <c r="H25" s="19">
        <v>20356</v>
      </c>
      <c r="I25" s="19">
        <v>5765</v>
      </c>
      <c r="K25" s="19">
        <v>29833</v>
      </c>
      <c r="L25" s="19">
        <f aca="true" t="shared" si="6" ref="L25:L30">K25-M25</f>
        <v>22851</v>
      </c>
      <c r="M25" s="19">
        <v>6982</v>
      </c>
      <c r="N25" s="28"/>
      <c r="O25" s="22">
        <v>29760</v>
      </c>
      <c r="P25" s="19">
        <f aca="true" t="shared" si="7" ref="P25:P30">O25-Q25</f>
        <v>22174</v>
      </c>
      <c r="Q25" s="22">
        <v>7586</v>
      </c>
      <c r="S25" s="34">
        <f t="shared" si="5"/>
        <v>24815</v>
      </c>
      <c r="T25" s="34">
        <v>18855</v>
      </c>
      <c r="U25" s="34">
        <v>5960</v>
      </c>
    </row>
    <row r="26" spans="1:21" s="24" customFormat="1" ht="15" customHeight="1">
      <c r="A26" s="12" t="s">
        <v>9</v>
      </c>
      <c r="B26" s="67"/>
      <c r="C26" s="76">
        <v>295</v>
      </c>
      <c r="D26" s="76">
        <v>43</v>
      </c>
      <c r="E26" s="76">
        <v>252</v>
      </c>
      <c r="F26" s="10"/>
      <c r="G26" s="19">
        <v>1183</v>
      </c>
      <c r="H26" s="19">
        <v>23</v>
      </c>
      <c r="I26" s="19">
        <v>1160</v>
      </c>
      <c r="K26" s="19">
        <v>963</v>
      </c>
      <c r="L26" s="19">
        <f t="shared" si="6"/>
        <v>72</v>
      </c>
      <c r="M26" s="19">
        <v>891</v>
      </c>
      <c r="N26" s="28"/>
      <c r="O26" s="22">
        <v>942</v>
      </c>
      <c r="P26" s="19">
        <f t="shared" si="7"/>
        <v>10</v>
      </c>
      <c r="Q26" s="22">
        <v>932</v>
      </c>
      <c r="S26" s="34">
        <f t="shared" si="5"/>
        <v>731</v>
      </c>
      <c r="T26" s="34">
        <v>20</v>
      </c>
      <c r="U26" s="34">
        <v>711</v>
      </c>
    </row>
    <row r="27" spans="1:21" s="24" customFormat="1" ht="15" customHeight="1">
      <c r="A27" s="12" t="s">
        <v>2</v>
      </c>
      <c r="B27" s="67"/>
      <c r="C27" s="76">
        <v>47618</v>
      </c>
      <c r="D27" s="76">
        <v>23400</v>
      </c>
      <c r="E27" s="76">
        <v>24218</v>
      </c>
      <c r="F27" s="10"/>
      <c r="G27" s="19">
        <v>44506</v>
      </c>
      <c r="H27" s="19">
        <v>22218</v>
      </c>
      <c r="I27" s="19">
        <v>22288</v>
      </c>
      <c r="K27" s="19">
        <v>43491</v>
      </c>
      <c r="L27" s="19">
        <f t="shared" si="6"/>
        <v>16992</v>
      </c>
      <c r="M27" s="19">
        <v>26499</v>
      </c>
      <c r="N27" s="28"/>
      <c r="O27" s="22">
        <v>36035</v>
      </c>
      <c r="P27" s="19">
        <f t="shared" si="7"/>
        <v>12857</v>
      </c>
      <c r="Q27" s="22">
        <v>23178</v>
      </c>
      <c r="S27" s="34">
        <f t="shared" si="5"/>
        <v>33198</v>
      </c>
      <c r="T27" s="34">
        <v>13818</v>
      </c>
      <c r="U27" s="34">
        <v>19380</v>
      </c>
    </row>
    <row r="28" spans="1:21" s="24" customFormat="1" ht="15" customHeight="1">
      <c r="A28" s="12" t="s">
        <v>3</v>
      </c>
      <c r="B28" s="67"/>
      <c r="C28" s="19">
        <v>5415</v>
      </c>
      <c r="D28" s="19">
        <v>4181</v>
      </c>
      <c r="E28" s="19">
        <v>1234</v>
      </c>
      <c r="F28" s="10"/>
      <c r="G28" s="19">
        <v>2633</v>
      </c>
      <c r="H28" s="19">
        <v>1923</v>
      </c>
      <c r="I28" s="19">
        <v>740</v>
      </c>
      <c r="K28" s="19">
        <v>2546</v>
      </c>
      <c r="L28" s="19">
        <f t="shared" si="6"/>
        <v>1848</v>
      </c>
      <c r="M28" s="19">
        <v>698</v>
      </c>
      <c r="N28" s="28"/>
      <c r="O28" s="19">
        <v>2725</v>
      </c>
      <c r="P28" s="19">
        <f t="shared" si="7"/>
        <v>1819</v>
      </c>
      <c r="Q28" s="19">
        <v>906</v>
      </c>
      <c r="S28" s="34">
        <f t="shared" si="5"/>
        <v>1882</v>
      </c>
      <c r="T28" s="34">
        <v>1399</v>
      </c>
      <c r="U28" s="34">
        <v>483</v>
      </c>
    </row>
    <row r="29" spans="1:21" s="24" customFormat="1" ht="15" customHeight="1">
      <c r="A29" s="12" t="s">
        <v>1</v>
      </c>
      <c r="B29" s="67"/>
      <c r="C29" s="19">
        <v>7187</v>
      </c>
      <c r="D29" s="19">
        <v>920</v>
      </c>
      <c r="E29" s="19">
        <v>6267</v>
      </c>
      <c r="F29" s="10"/>
      <c r="G29" s="19">
        <v>9004</v>
      </c>
      <c r="H29" s="19">
        <v>1838</v>
      </c>
      <c r="I29" s="19">
        <v>7166</v>
      </c>
      <c r="K29" s="19">
        <v>11347</v>
      </c>
      <c r="L29" s="19">
        <f t="shared" si="6"/>
        <v>2847</v>
      </c>
      <c r="M29" s="19">
        <v>8500</v>
      </c>
      <c r="N29" s="28"/>
      <c r="O29" s="19">
        <v>9208</v>
      </c>
      <c r="P29" s="19">
        <f t="shared" si="7"/>
        <v>2549</v>
      </c>
      <c r="Q29" s="19">
        <v>6659</v>
      </c>
      <c r="S29" s="34">
        <f t="shared" si="5"/>
        <v>7789</v>
      </c>
      <c r="T29" s="34">
        <v>2777</v>
      </c>
      <c r="U29" s="34">
        <v>5012</v>
      </c>
    </row>
    <row r="30" spans="1:21" s="24" customFormat="1" ht="15" customHeight="1">
      <c r="A30" s="12" t="s">
        <v>19</v>
      </c>
      <c r="B30" s="67"/>
      <c r="C30" s="19">
        <v>26</v>
      </c>
      <c r="D30" s="19">
        <v>25</v>
      </c>
      <c r="E30" s="19">
        <v>1</v>
      </c>
      <c r="F30" s="10"/>
      <c r="G30" s="19">
        <v>120</v>
      </c>
      <c r="H30" s="19">
        <v>10</v>
      </c>
      <c r="I30" s="19">
        <v>110</v>
      </c>
      <c r="K30" s="19">
        <v>15</v>
      </c>
      <c r="L30" s="19">
        <f t="shared" si="6"/>
        <v>9</v>
      </c>
      <c r="M30" s="19">
        <v>6</v>
      </c>
      <c r="N30" s="28"/>
      <c r="O30" s="50">
        <v>0</v>
      </c>
      <c r="P30" s="50">
        <f t="shared" si="7"/>
        <v>0</v>
      </c>
      <c r="Q30" s="50">
        <v>0</v>
      </c>
      <c r="S30" s="79">
        <v>0</v>
      </c>
      <c r="T30" s="79">
        <v>0</v>
      </c>
      <c r="U30" s="79">
        <v>0</v>
      </c>
    </row>
    <row r="31" spans="1:17" s="26" customFormat="1" ht="15" customHeight="1">
      <c r="A31" s="13"/>
      <c r="C31" s="47"/>
      <c r="D31" s="47"/>
      <c r="E31" s="47"/>
      <c r="F31" s="44"/>
      <c r="G31" s="47"/>
      <c r="H31" s="47"/>
      <c r="I31" s="47"/>
      <c r="K31" s="47"/>
      <c r="L31" s="47"/>
      <c r="M31" s="47"/>
      <c r="N31" s="3"/>
      <c r="O31" s="47"/>
      <c r="P31" s="47"/>
      <c r="Q31" s="47"/>
    </row>
    <row r="32" spans="1:21" ht="18" customHeight="1">
      <c r="A32" s="7" t="s">
        <v>45</v>
      </c>
      <c r="B32" s="26"/>
      <c r="C32" s="32">
        <v>60761</v>
      </c>
      <c r="D32" s="32">
        <v>26032</v>
      </c>
      <c r="E32" s="32">
        <v>34729</v>
      </c>
      <c r="F32" s="32"/>
      <c r="G32" s="32">
        <v>54399</v>
      </c>
      <c r="H32" s="32">
        <v>18969</v>
      </c>
      <c r="I32" s="32">
        <v>35430</v>
      </c>
      <c r="J32" s="32"/>
      <c r="K32" s="32">
        <f>SUM(K33:K39)</f>
        <v>51359</v>
      </c>
      <c r="L32" s="32">
        <f aca="true" t="shared" si="8" ref="L32:Q32">SUM(L33:L39)</f>
        <v>21651</v>
      </c>
      <c r="M32" s="32">
        <f t="shared" si="8"/>
        <v>29708</v>
      </c>
      <c r="N32" s="32">
        <f t="shared" si="8"/>
        <v>0</v>
      </c>
      <c r="O32" s="32">
        <f t="shared" si="8"/>
        <v>58649</v>
      </c>
      <c r="P32" s="32">
        <f t="shared" si="8"/>
        <v>14945</v>
      </c>
      <c r="Q32" s="32">
        <f t="shared" si="8"/>
        <v>43704</v>
      </c>
      <c r="S32" s="77">
        <f>SUM(S33:S39)</f>
        <v>54744</v>
      </c>
      <c r="T32" s="77">
        <f>SUM(T33:T39)</f>
        <v>15588</v>
      </c>
      <c r="U32" s="77">
        <f>SUM(U33:U39)</f>
        <v>39156</v>
      </c>
    </row>
    <row r="33" spans="1:21" s="28" customFormat="1" ht="15" customHeight="1">
      <c r="A33" s="9" t="s">
        <v>4</v>
      </c>
      <c r="B33" s="63"/>
      <c r="C33" s="19">
        <v>26603</v>
      </c>
      <c r="D33" s="19">
        <v>5835</v>
      </c>
      <c r="E33" s="19">
        <v>20768</v>
      </c>
      <c r="F33" s="9"/>
      <c r="G33" s="19">
        <v>25872</v>
      </c>
      <c r="H33" s="19">
        <v>3527</v>
      </c>
      <c r="I33" s="19">
        <v>22345</v>
      </c>
      <c r="K33" s="19">
        <v>23715</v>
      </c>
      <c r="L33" s="19">
        <f>K33-M33</f>
        <v>3800</v>
      </c>
      <c r="M33" s="19">
        <v>19915</v>
      </c>
      <c r="O33" s="19">
        <v>27867</v>
      </c>
      <c r="P33" s="19">
        <f>O33-Q33</f>
        <v>3119</v>
      </c>
      <c r="Q33" s="19">
        <v>24748</v>
      </c>
      <c r="S33" s="34">
        <f>+T33+U33</f>
        <v>23932</v>
      </c>
      <c r="T33" s="34">
        <v>4566</v>
      </c>
      <c r="U33" s="34">
        <v>19366</v>
      </c>
    </row>
    <row r="34" spans="1:21" s="24" customFormat="1" ht="15" customHeight="1">
      <c r="A34" s="12" t="s">
        <v>0</v>
      </c>
      <c r="B34" s="67"/>
      <c r="C34" s="19">
        <v>529</v>
      </c>
      <c r="D34" s="19">
        <v>164</v>
      </c>
      <c r="E34" s="19">
        <v>365</v>
      </c>
      <c r="F34" s="10"/>
      <c r="G34" s="19">
        <v>436</v>
      </c>
      <c r="H34" s="19">
        <v>187</v>
      </c>
      <c r="I34" s="19">
        <v>249</v>
      </c>
      <c r="K34" s="19">
        <v>796</v>
      </c>
      <c r="L34" s="19">
        <f aca="true" t="shared" si="9" ref="L34:L39">K34-M34</f>
        <v>156</v>
      </c>
      <c r="M34" s="19">
        <v>640</v>
      </c>
      <c r="N34" s="28"/>
      <c r="O34" s="19">
        <v>582</v>
      </c>
      <c r="P34" s="19">
        <f aca="true" t="shared" si="10" ref="P34:P39">O34-Q34</f>
        <v>71</v>
      </c>
      <c r="Q34" s="24">
        <v>511</v>
      </c>
      <c r="S34" s="34">
        <f aca="true" t="shared" si="11" ref="S34:S39">+T34+U34</f>
        <v>785</v>
      </c>
      <c r="T34" s="34">
        <v>60</v>
      </c>
      <c r="U34" s="34">
        <v>725</v>
      </c>
    </row>
    <row r="35" spans="1:21" s="24" customFormat="1" ht="15" customHeight="1">
      <c r="A35" s="12" t="s">
        <v>9</v>
      </c>
      <c r="B35" s="67"/>
      <c r="C35" s="19">
        <v>45</v>
      </c>
      <c r="D35" s="19">
        <v>11</v>
      </c>
      <c r="E35" s="19">
        <v>34</v>
      </c>
      <c r="F35" s="10"/>
      <c r="G35" s="19">
        <v>167</v>
      </c>
      <c r="H35" s="19">
        <v>116</v>
      </c>
      <c r="I35" s="19">
        <v>51</v>
      </c>
      <c r="K35" s="19">
        <v>62</v>
      </c>
      <c r="L35" s="19">
        <f t="shared" si="9"/>
        <v>45</v>
      </c>
      <c r="M35" s="19">
        <v>17</v>
      </c>
      <c r="N35" s="28"/>
      <c r="O35" s="19">
        <v>81</v>
      </c>
      <c r="P35" s="19">
        <f t="shared" si="10"/>
        <v>36</v>
      </c>
      <c r="Q35" s="19">
        <v>45</v>
      </c>
      <c r="S35" s="34">
        <f t="shared" si="11"/>
        <v>8</v>
      </c>
      <c r="T35" s="79">
        <v>0</v>
      </c>
      <c r="U35" s="34">
        <v>8</v>
      </c>
    </row>
    <row r="36" spans="1:21" s="24" customFormat="1" ht="15" customHeight="1">
      <c r="A36" s="12" t="s">
        <v>2</v>
      </c>
      <c r="B36" s="67"/>
      <c r="C36" s="19">
        <v>33346</v>
      </c>
      <c r="D36" s="19">
        <v>19873</v>
      </c>
      <c r="E36" s="19">
        <v>13473</v>
      </c>
      <c r="F36" s="10"/>
      <c r="G36" s="19">
        <v>27549</v>
      </c>
      <c r="H36" s="19">
        <v>14917</v>
      </c>
      <c r="I36" s="19">
        <v>12632</v>
      </c>
      <c r="K36" s="19">
        <v>26363</v>
      </c>
      <c r="L36" s="19">
        <f t="shared" si="9"/>
        <v>17381</v>
      </c>
      <c r="M36" s="19">
        <v>8982</v>
      </c>
      <c r="N36" s="28"/>
      <c r="O36" s="19">
        <v>28529</v>
      </c>
      <c r="P36" s="19">
        <f t="shared" si="10"/>
        <v>11613</v>
      </c>
      <c r="Q36" s="19">
        <v>16916</v>
      </c>
      <c r="S36" s="34">
        <f t="shared" si="11"/>
        <v>27570</v>
      </c>
      <c r="T36" s="34">
        <v>10796</v>
      </c>
      <c r="U36" s="34">
        <v>16774</v>
      </c>
    </row>
    <row r="37" spans="1:21" s="24" customFormat="1" ht="15" customHeight="1">
      <c r="A37" s="12" t="s">
        <v>3</v>
      </c>
      <c r="B37" s="67"/>
      <c r="C37" s="19">
        <v>11</v>
      </c>
      <c r="D37" s="50">
        <v>0</v>
      </c>
      <c r="E37" s="19">
        <v>11</v>
      </c>
      <c r="F37" s="10"/>
      <c r="G37" s="19">
        <v>26</v>
      </c>
      <c r="H37" s="50">
        <v>0</v>
      </c>
      <c r="I37" s="19">
        <v>26</v>
      </c>
      <c r="K37" s="19">
        <v>37</v>
      </c>
      <c r="L37" s="19">
        <f t="shared" si="9"/>
        <v>25</v>
      </c>
      <c r="M37" s="19">
        <v>12</v>
      </c>
      <c r="N37" s="28"/>
      <c r="O37" s="19">
        <v>9</v>
      </c>
      <c r="P37" s="50">
        <f t="shared" si="10"/>
        <v>1</v>
      </c>
      <c r="Q37" s="19">
        <v>8</v>
      </c>
      <c r="S37" s="34">
        <f t="shared" si="11"/>
        <v>18</v>
      </c>
      <c r="T37" s="79">
        <v>0</v>
      </c>
      <c r="U37" s="34">
        <v>18</v>
      </c>
    </row>
    <row r="38" spans="1:21" s="24" customFormat="1" ht="15" customHeight="1">
      <c r="A38" s="12" t="s">
        <v>1</v>
      </c>
      <c r="B38" s="67"/>
      <c r="C38" s="19">
        <v>183</v>
      </c>
      <c r="D38" s="19">
        <v>122</v>
      </c>
      <c r="E38" s="19">
        <v>61</v>
      </c>
      <c r="F38" s="10"/>
      <c r="G38" s="19">
        <v>318</v>
      </c>
      <c r="H38" s="19">
        <v>222</v>
      </c>
      <c r="I38" s="19">
        <v>96</v>
      </c>
      <c r="K38" s="19">
        <v>245</v>
      </c>
      <c r="L38" s="19">
        <f t="shared" si="9"/>
        <v>206</v>
      </c>
      <c r="M38" s="19">
        <v>39</v>
      </c>
      <c r="N38" s="28"/>
      <c r="O38" s="19">
        <v>191</v>
      </c>
      <c r="P38" s="19">
        <f t="shared" si="10"/>
        <v>105</v>
      </c>
      <c r="Q38" s="19">
        <v>86</v>
      </c>
      <c r="S38" s="34">
        <f t="shared" si="11"/>
        <v>430</v>
      </c>
      <c r="T38" s="34">
        <v>166</v>
      </c>
      <c r="U38" s="34">
        <v>264</v>
      </c>
    </row>
    <row r="39" spans="1:21" s="24" customFormat="1" ht="15" customHeight="1">
      <c r="A39" s="12" t="s">
        <v>19</v>
      </c>
      <c r="C39" s="28">
        <v>44</v>
      </c>
      <c r="D39" s="28">
        <v>27</v>
      </c>
      <c r="E39" s="28">
        <v>17</v>
      </c>
      <c r="F39" s="10"/>
      <c r="G39" s="19">
        <v>31</v>
      </c>
      <c r="H39" s="50">
        <v>0</v>
      </c>
      <c r="I39" s="50">
        <v>31</v>
      </c>
      <c r="K39" s="19">
        <f>132+9</f>
        <v>141</v>
      </c>
      <c r="L39" s="19">
        <f t="shared" si="9"/>
        <v>38</v>
      </c>
      <c r="M39" s="19">
        <v>103</v>
      </c>
      <c r="N39" s="28"/>
      <c r="O39" s="19">
        <v>1390</v>
      </c>
      <c r="P39" s="50">
        <f t="shared" si="10"/>
        <v>0</v>
      </c>
      <c r="Q39" s="19">
        <v>1390</v>
      </c>
      <c r="S39" s="34">
        <f t="shared" si="11"/>
        <v>2001</v>
      </c>
      <c r="T39" s="79">
        <v>0</v>
      </c>
      <c r="U39" s="34">
        <v>2001</v>
      </c>
    </row>
    <row r="40" spans="1:17" s="26" customFormat="1" ht="15" customHeight="1">
      <c r="A40" s="13"/>
      <c r="F40" s="44"/>
      <c r="G40" s="47"/>
      <c r="H40" s="47"/>
      <c r="I40" s="51"/>
      <c r="K40" s="47"/>
      <c r="L40" s="47"/>
      <c r="M40" s="47"/>
      <c r="N40" s="3"/>
      <c r="O40" s="47"/>
      <c r="P40" s="50"/>
      <c r="Q40" s="51"/>
    </row>
    <row r="41" spans="1:21" ht="18" customHeight="1">
      <c r="A41" s="7" t="s">
        <v>46</v>
      </c>
      <c r="B41" s="26"/>
      <c r="C41" s="32">
        <v>102098</v>
      </c>
      <c r="D41" s="32">
        <v>45745</v>
      </c>
      <c r="E41" s="32">
        <v>56353</v>
      </c>
      <c r="F41" s="32"/>
      <c r="G41" s="32">
        <v>82496</v>
      </c>
      <c r="H41" s="32">
        <v>43675</v>
      </c>
      <c r="I41" s="32">
        <v>38821</v>
      </c>
      <c r="J41" s="32"/>
      <c r="K41" s="32">
        <f>SUM(K42:K48)</f>
        <v>120676</v>
      </c>
      <c r="L41" s="32">
        <f aca="true" t="shared" si="12" ref="L41:Q41">SUM(L42:L48)</f>
        <v>68073</v>
      </c>
      <c r="M41" s="32">
        <f t="shared" si="12"/>
        <v>52603</v>
      </c>
      <c r="N41" s="32">
        <f t="shared" si="12"/>
        <v>0</v>
      </c>
      <c r="O41" s="32">
        <f t="shared" si="12"/>
        <v>82825</v>
      </c>
      <c r="P41" s="32">
        <f t="shared" si="12"/>
        <v>51772</v>
      </c>
      <c r="Q41" s="32">
        <f t="shared" si="12"/>
        <v>31053</v>
      </c>
      <c r="S41" s="77">
        <f>SUM(S42:S48)</f>
        <v>111117</v>
      </c>
      <c r="T41" s="77">
        <f>SUM(T42:T48)</f>
        <v>56974</v>
      </c>
      <c r="U41" s="77">
        <f>SUM(U42:U48)</f>
        <v>54143</v>
      </c>
    </row>
    <row r="42" spans="1:21" s="28" customFormat="1" ht="15" customHeight="1">
      <c r="A42" s="9" t="s">
        <v>4</v>
      </c>
      <c r="B42" s="63"/>
      <c r="C42" s="19">
        <v>97258</v>
      </c>
      <c r="D42" s="19">
        <v>43972</v>
      </c>
      <c r="E42" s="19">
        <v>53286</v>
      </c>
      <c r="F42" s="9"/>
      <c r="G42" s="19">
        <v>57169</v>
      </c>
      <c r="H42" s="19">
        <v>20831</v>
      </c>
      <c r="I42" s="19">
        <v>36338</v>
      </c>
      <c r="K42" s="19">
        <v>103201</v>
      </c>
      <c r="L42" s="19">
        <v>55332</v>
      </c>
      <c r="M42" s="19">
        <v>47869</v>
      </c>
      <c r="O42" s="19">
        <v>67989</v>
      </c>
      <c r="P42" s="19">
        <f>O42-Q42</f>
        <v>42148</v>
      </c>
      <c r="Q42" s="19">
        <v>25841</v>
      </c>
      <c r="S42" s="78">
        <f>+T42+U42</f>
        <v>94189</v>
      </c>
      <c r="T42" s="34">
        <v>47309</v>
      </c>
      <c r="U42" s="78">
        <v>46880</v>
      </c>
    </row>
    <row r="43" spans="1:21" s="24" customFormat="1" ht="15" customHeight="1">
      <c r="A43" s="12" t="s">
        <v>0</v>
      </c>
      <c r="B43" s="67"/>
      <c r="C43" s="19">
        <v>975</v>
      </c>
      <c r="D43" s="19">
        <v>513</v>
      </c>
      <c r="E43" s="50">
        <v>462</v>
      </c>
      <c r="F43" s="10"/>
      <c r="G43" s="19">
        <v>1964</v>
      </c>
      <c r="H43" s="19">
        <v>1769</v>
      </c>
      <c r="I43" s="19">
        <v>195</v>
      </c>
      <c r="K43" s="19">
        <v>8206</v>
      </c>
      <c r="L43" s="19">
        <v>7373</v>
      </c>
      <c r="M43" s="19">
        <v>833</v>
      </c>
      <c r="N43" s="28"/>
      <c r="O43" s="22">
        <v>7213</v>
      </c>
      <c r="P43" s="19">
        <f aca="true" t="shared" si="13" ref="P43:P48">O43-Q43</f>
        <v>6570</v>
      </c>
      <c r="Q43" s="22">
        <v>643</v>
      </c>
      <c r="S43" s="78">
        <f aca="true" t="shared" si="14" ref="S43:S48">+T43+U43</f>
        <v>7569</v>
      </c>
      <c r="T43" s="34">
        <v>6666</v>
      </c>
      <c r="U43" s="34">
        <v>903</v>
      </c>
    </row>
    <row r="44" spans="1:21" s="24" customFormat="1" ht="15" customHeight="1">
      <c r="A44" s="12" t="s">
        <v>9</v>
      </c>
      <c r="B44" s="67"/>
      <c r="C44" s="47">
        <v>34</v>
      </c>
      <c r="D44" s="47">
        <v>31</v>
      </c>
      <c r="E44" s="51">
        <v>3</v>
      </c>
      <c r="F44" s="10"/>
      <c r="G44" s="19">
        <v>3</v>
      </c>
      <c r="H44" s="50">
        <v>0</v>
      </c>
      <c r="I44" s="50">
        <v>3</v>
      </c>
      <c r="K44" s="19">
        <v>4</v>
      </c>
      <c r="L44" s="19">
        <v>2</v>
      </c>
      <c r="M44" s="19">
        <v>2</v>
      </c>
      <c r="N44" s="28"/>
      <c r="O44" s="22">
        <v>4</v>
      </c>
      <c r="P44" s="50">
        <f t="shared" si="13"/>
        <v>0</v>
      </c>
      <c r="Q44" s="22">
        <v>4</v>
      </c>
      <c r="S44" s="78">
        <f t="shared" si="14"/>
        <v>7</v>
      </c>
      <c r="T44" s="34">
        <v>4</v>
      </c>
      <c r="U44" s="34">
        <v>3</v>
      </c>
    </row>
    <row r="45" spans="1:21" s="24" customFormat="1" ht="15" customHeight="1">
      <c r="A45" s="12" t="s">
        <v>2</v>
      </c>
      <c r="B45" s="67"/>
      <c r="C45" s="47">
        <v>2866</v>
      </c>
      <c r="D45" s="47">
        <v>699</v>
      </c>
      <c r="E45" s="47">
        <v>2167</v>
      </c>
      <c r="F45" s="10"/>
      <c r="G45" s="19">
        <v>22682</v>
      </c>
      <c r="H45" s="19">
        <v>20550</v>
      </c>
      <c r="I45" s="19">
        <v>2132</v>
      </c>
      <c r="K45" s="19">
        <v>8147</v>
      </c>
      <c r="L45" s="19">
        <v>4376</v>
      </c>
      <c r="M45" s="19">
        <v>3771</v>
      </c>
      <c r="N45" s="28"/>
      <c r="O45" s="22">
        <v>7046</v>
      </c>
      <c r="P45" s="19">
        <f t="shared" si="13"/>
        <v>2773</v>
      </c>
      <c r="Q45" s="22">
        <v>4273</v>
      </c>
      <c r="S45" s="78">
        <f t="shared" si="14"/>
        <v>9034</v>
      </c>
      <c r="T45" s="34">
        <v>2744</v>
      </c>
      <c r="U45" s="34">
        <v>6290</v>
      </c>
    </row>
    <row r="46" spans="1:21" s="24" customFormat="1" ht="15" customHeight="1">
      <c r="A46" s="12" t="s">
        <v>3</v>
      </c>
      <c r="B46" s="67"/>
      <c r="C46" s="19">
        <v>52</v>
      </c>
      <c r="D46" s="19">
        <v>54</v>
      </c>
      <c r="E46" s="19">
        <v>-2</v>
      </c>
      <c r="F46" s="10"/>
      <c r="G46" s="19">
        <v>104</v>
      </c>
      <c r="H46" s="19">
        <v>102</v>
      </c>
      <c r="I46" s="19">
        <v>2</v>
      </c>
      <c r="K46" s="19">
        <v>6</v>
      </c>
      <c r="L46" s="19">
        <v>2</v>
      </c>
      <c r="M46" s="19">
        <v>4</v>
      </c>
      <c r="N46" s="28"/>
      <c r="O46" s="19">
        <v>211</v>
      </c>
      <c r="P46" s="19">
        <f t="shared" si="13"/>
        <v>185</v>
      </c>
      <c r="Q46" s="19">
        <v>26</v>
      </c>
      <c r="S46" s="78">
        <f t="shared" si="14"/>
        <v>58</v>
      </c>
      <c r="T46" s="34">
        <v>56</v>
      </c>
      <c r="U46" s="34">
        <v>2</v>
      </c>
    </row>
    <row r="47" spans="1:21" s="24" customFormat="1" ht="15" customHeight="1">
      <c r="A47" s="12" t="s">
        <v>1</v>
      </c>
      <c r="B47" s="67"/>
      <c r="C47" s="19">
        <v>851</v>
      </c>
      <c r="D47" s="19">
        <v>421</v>
      </c>
      <c r="E47" s="19">
        <v>430</v>
      </c>
      <c r="F47" s="10"/>
      <c r="G47" s="28">
        <v>456</v>
      </c>
      <c r="H47" s="28">
        <v>313</v>
      </c>
      <c r="I47" s="28">
        <v>143</v>
      </c>
      <c r="J47" s="28"/>
      <c r="K47" s="28">
        <v>214</v>
      </c>
      <c r="L47" s="28">
        <v>91</v>
      </c>
      <c r="M47" s="28">
        <v>123</v>
      </c>
      <c r="N47" s="28"/>
      <c r="O47" s="19">
        <v>262</v>
      </c>
      <c r="P47" s="19">
        <f t="shared" si="13"/>
        <v>31</v>
      </c>
      <c r="Q47" s="50">
        <v>231</v>
      </c>
      <c r="S47" s="78">
        <f t="shared" si="14"/>
        <v>170</v>
      </c>
      <c r="T47" s="34">
        <v>105</v>
      </c>
      <c r="U47" s="34">
        <v>65</v>
      </c>
    </row>
    <row r="48" spans="1:21" s="24" customFormat="1" ht="15" customHeight="1">
      <c r="A48" s="12" t="s">
        <v>19</v>
      </c>
      <c r="B48" s="67"/>
      <c r="C48" s="19">
        <v>62</v>
      </c>
      <c r="D48" s="19">
        <v>55</v>
      </c>
      <c r="E48" s="19">
        <v>7</v>
      </c>
      <c r="F48" s="10"/>
      <c r="G48" s="19">
        <v>118</v>
      </c>
      <c r="H48" s="19">
        <v>110</v>
      </c>
      <c r="I48" s="19">
        <v>8</v>
      </c>
      <c r="J48" s="28"/>
      <c r="K48" s="19">
        <f>761+137</f>
        <v>898</v>
      </c>
      <c r="L48" s="19">
        <v>897</v>
      </c>
      <c r="M48" s="19">
        <v>1</v>
      </c>
      <c r="N48" s="28"/>
      <c r="O48" s="19">
        <v>100</v>
      </c>
      <c r="P48" s="19">
        <f t="shared" si="13"/>
        <v>65</v>
      </c>
      <c r="Q48" s="19">
        <v>35</v>
      </c>
      <c r="S48" s="78">
        <f t="shared" si="14"/>
        <v>90</v>
      </c>
      <c r="T48" s="80">
        <v>90</v>
      </c>
      <c r="U48" s="80">
        <v>0</v>
      </c>
    </row>
    <row r="49" spans="9:17" ht="9" customHeight="1">
      <c r="I49" s="53"/>
      <c r="O49" s="26"/>
      <c r="P49" s="26"/>
      <c r="Q49" s="26"/>
    </row>
    <row r="50" spans="1:21" ht="15" customHeight="1">
      <c r="A50" s="4"/>
      <c r="B50" s="38"/>
      <c r="C50" s="89">
        <v>2012</v>
      </c>
      <c r="D50" s="89"/>
      <c r="E50" s="89"/>
      <c r="F50" s="44"/>
      <c r="G50" s="89">
        <v>2013</v>
      </c>
      <c r="H50" s="89"/>
      <c r="I50" s="89"/>
      <c r="K50" s="89">
        <v>2014</v>
      </c>
      <c r="L50" s="89"/>
      <c r="M50" s="89"/>
      <c r="O50" s="89">
        <v>2015</v>
      </c>
      <c r="P50" s="89"/>
      <c r="Q50" s="89"/>
      <c r="S50" s="89">
        <v>2016</v>
      </c>
      <c r="T50" s="89"/>
      <c r="U50" s="89"/>
    </row>
    <row r="51" spans="3:21" ht="15" customHeight="1" thickBot="1">
      <c r="C51" s="1" t="s">
        <v>5</v>
      </c>
      <c r="D51" s="1" t="s">
        <v>8</v>
      </c>
      <c r="E51" s="1" t="s">
        <v>7</v>
      </c>
      <c r="F51" s="3"/>
      <c r="G51" s="1" t="s">
        <v>5</v>
      </c>
      <c r="H51" s="1" t="s">
        <v>8</v>
      </c>
      <c r="I51" s="1" t="s">
        <v>7</v>
      </c>
      <c r="J51" s="3"/>
      <c r="K51" s="1" t="s">
        <v>5</v>
      </c>
      <c r="L51" s="1" t="s">
        <v>8</v>
      </c>
      <c r="M51" s="1" t="s">
        <v>7</v>
      </c>
      <c r="N51" s="3"/>
      <c r="O51" s="1" t="s">
        <v>5</v>
      </c>
      <c r="P51" s="1" t="s">
        <v>8</v>
      </c>
      <c r="Q51" s="1" t="s">
        <v>7</v>
      </c>
      <c r="R51" s="3"/>
      <c r="S51" s="1" t="s">
        <v>5</v>
      </c>
      <c r="T51" s="1" t="s">
        <v>8</v>
      </c>
      <c r="U51" s="1" t="s">
        <v>7</v>
      </c>
    </row>
    <row r="52" spans="1:21" ht="19.5" customHeight="1" thickTop="1">
      <c r="A52" s="5" t="s">
        <v>53</v>
      </c>
      <c r="C52" s="73">
        <f>+C54+C58</f>
        <v>1484966</v>
      </c>
      <c r="D52" s="73">
        <f aca="true" t="shared" si="15" ref="D52:U52">+D54+D58</f>
        <v>895594</v>
      </c>
      <c r="E52" s="73">
        <f t="shared" si="15"/>
        <v>589372</v>
      </c>
      <c r="F52" s="73">
        <f t="shared" si="15"/>
        <v>0</v>
      </c>
      <c r="G52" s="73">
        <f t="shared" si="15"/>
        <v>1458886</v>
      </c>
      <c r="H52" s="73">
        <f t="shared" si="15"/>
        <v>835817</v>
      </c>
      <c r="I52" s="73">
        <f t="shared" si="15"/>
        <v>623069</v>
      </c>
      <c r="J52" s="73">
        <f t="shared" si="15"/>
        <v>0</v>
      </c>
      <c r="K52" s="73">
        <f t="shared" si="15"/>
        <v>1495089</v>
      </c>
      <c r="L52" s="73">
        <f t="shared" si="15"/>
        <v>929888</v>
      </c>
      <c r="M52" s="73">
        <f t="shared" si="15"/>
        <v>565201</v>
      </c>
      <c r="N52" s="73">
        <f t="shared" si="15"/>
        <v>0</v>
      </c>
      <c r="O52" s="73">
        <f t="shared" si="15"/>
        <v>1221823</v>
      </c>
      <c r="P52" s="73">
        <f t="shared" si="15"/>
        <v>754237</v>
      </c>
      <c r="Q52" s="73">
        <f t="shared" si="15"/>
        <v>467586</v>
      </c>
      <c r="S52" s="73">
        <f t="shared" si="15"/>
        <v>918781</v>
      </c>
      <c r="T52" s="73">
        <f t="shared" si="15"/>
        <v>671433</v>
      </c>
      <c r="U52" s="73">
        <f t="shared" si="15"/>
        <v>366369</v>
      </c>
    </row>
    <row r="53" spans="1:17" ht="12" customHeight="1">
      <c r="A53" s="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21" ht="15" customHeight="1">
      <c r="A54" s="7" t="s">
        <v>43</v>
      </c>
      <c r="C54" s="71">
        <f>C55+C56</f>
        <v>1483636</v>
      </c>
      <c r="D54" s="71">
        <f aca="true" t="shared" si="16" ref="D54:U54">D55+D56</f>
        <v>895419</v>
      </c>
      <c r="E54" s="71">
        <f t="shared" si="16"/>
        <v>588217</v>
      </c>
      <c r="F54" s="71">
        <f t="shared" si="16"/>
        <v>0</v>
      </c>
      <c r="G54" s="71">
        <f t="shared" si="16"/>
        <v>1457449</v>
      </c>
      <c r="H54" s="71">
        <f t="shared" si="16"/>
        <v>835717</v>
      </c>
      <c r="I54" s="71">
        <f t="shared" si="16"/>
        <v>621732</v>
      </c>
      <c r="J54" s="71">
        <f t="shared" si="16"/>
        <v>0</v>
      </c>
      <c r="K54" s="71">
        <f t="shared" si="16"/>
        <v>1493578</v>
      </c>
      <c r="L54" s="71">
        <f t="shared" si="16"/>
        <v>929808</v>
      </c>
      <c r="M54" s="71">
        <f t="shared" si="16"/>
        <v>563770</v>
      </c>
      <c r="N54" s="71">
        <f t="shared" si="16"/>
        <v>0</v>
      </c>
      <c r="O54" s="71">
        <f t="shared" si="16"/>
        <v>1219951</v>
      </c>
      <c r="P54" s="71">
        <f t="shared" si="16"/>
        <v>754177</v>
      </c>
      <c r="Q54" s="71">
        <f t="shared" si="16"/>
        <v>465774</v>
      </c>
      <c r="S54" s="71">
        <f t="shared" si="16"/>
        <v>916839</v>
      </c>
      <c r="T54" s="71">
        <f t="shared" si="16"/>
        <v>671351</v>
      </c>
      <c r="U54" s="71">
        <f t="shared" si="16"/>
        <v>364509</v>
      </c>
    </row>
    <row r="55" spans="1:21" s="28" customFormat="1" ht="15" customHeight="1">
      <c r="A55" s="9" t="s">
        <v>54</v>
      </c>
      <c r="C55" s="19">
        <v>55386</v>
      </c>
      <c r="D55" s="19">
        <v>21001</v>
      </c>
      <c r="E55" s="19">
        <v>34385</v>
      </c>
      <c r="G55" s="19">
        <v>40722</v>
      </c>
      <c r="H55" s="19">
        <v>15108</v>
      </c>
      <c r="I55" s="19">
        <v>25614</v>
      </c>
      <c r="K55" s="19">
        <v>50312</v>
      </c>
      <c r="L55" s="19">
        <v>17680</v>
      </c>
      <c r="M55" s="19">
        <v>32632</v>
      </c>
      <c r="O55" s="19">
        <f>O60</f>
        <v>62960</v>
      </c>
      <c r="P55" s="19">
        <f>O55-Q55</f>
        <v>24342</v>
      </c>
      <c r="Q55" s="19">
        <f>Q60</f>
        <v>38618</v>
      </c>
      <c r="S55" s="37">
        <f>S60</f>
        <v>54780</v>
      </c>
      <c r="T55" s="37">
        <f>T60</f>
        <v>9398</v>
      </c>
      <c r="U55" s="37">
        <f>U60</f>
        <v>45382</v>
      </c>
    </row>
    <row r="56" spans="1:21" s="28" customFormat="1" ht="15" customHeight="1">
      <c r="A56" s="9" t="s">
        <v>56</v>
      </c>
      <c r="C56" s="19">
        <v>1428250</v>
      </c>
      <c r="D56" s="19">
        <v>874418</v>
      </c>
      <c r="E56" s="19">
        <v>553832</v>
      </c>
      <c r="G56" s="19">
        <v>1416727</v>
      </c>
      <c r="H56" s="19">
        <v>820609</v>
      </c>
      <c r="I56" s="19">
        <v>596118</v>
      </c>
      <c r="K56" s="19">
        <v>1443266</v>
      </c>
      <c r="L56" s="19">
        <v>912128</v>
      </c>
      <c r="M56" s="19">
        <v>531138</v>
      </c>
      <c r="O56" s="19">
        <f>O65</f>
        <v>1156991</v>
      </c>
      <c r="P56" s="19">
        <f>O56-Q56</f>
        <v>729835</v>
      </c>
      <c r="Q56" s="19">
        <f>Q65</f>
        <v>427156</v>
      </c>
      <c r="S56" s="37">
        <f>S67</f>
        <v>862059</v>
      </c>
      <c r="T56" s="37">
        <f>T65</f>
        <v>661953</v>
      </c>
      <c r="U56" s="37">
        <f>U65</f>
        <v>319127</v>
      </c>
    </row>
    <row r="57" spans="1:17" s="28" customFormat="1" ht="7.5" customHeight="1">
      <c r="A57" s="9"/>
      <c r="C57" s="19"/>
      <c r="D57" s="19"/>
      <c r="E57" s="19"/>
      <c r="G57" s="19"/>
      <c r="H57" s="19"/>
      <c r="I57" s="19"/>
      <c r="K57" s="19"/>
      <c r="L57" s="19"/>
      <c r="M57" s="19"/>
      <c r="O57" s="19"/>
      <c r="P57" s="19"/>
      <c r="Q57" s="19"/>
    </row>
    <row r="58" spans="1:21" s="28" customFormat="1" ht="15.75" customHeight="1">
      <c r="A58" s="7" t="s">
        <v>58</v>
      </c>
      <c r="C58" s="32">
        <v>1330</v>
      </c>
      <c r="D58" s="32">
        <f>C58-E58</f>
        <v>175</v>
      </c>
      <c r="E58" s="32">
        <v>1155</v>
      </c>
      <c r="G58" s="32">
        <v>1437</v>
      </c>
      <c r="H58" s="32">
        <f>G58-I58</f>
        <v>100</v>
      </c>
      <c r="I58" s="32">
        <v>1337</v>
      </c>
      <c r="J58" s="32"/>
      <c r="K58" s="32">
        <v>1511</v>
      </c>
      <c r="L58" s="32">
        <f>K58-M58</f>
        <v>80</v>
      </c>
      <c r="M58" s="32">
        <v>1431</v>
      </c>
      <c r="N58" s="32"/>
      <c r="O58" s="32">
        <v>1872</v>
      </c>
      <c r="P58" s="32">
        <f>O58-Q58</f>
        <v>60</v>
      </c>
      <c r="Q58" s="32">
        <v>1812</v>
      </c>
      <c r="S58" s="32">
        <v>1942</v>
      </c>
      <c r="T58" s="32">
        <v>82</v>
      </c>
      <c r="U58" s="32">
        <v>1860</v>
      </c>
    </row>
    <row r="59" s="6" customFormat="1" ht="9.75" customHeight="1"/>
    <row r="60" spans="1:21" ht="18" customHeight="1">
      <c r="A60" s="7" t="s">
        <v>42</v>
      </c>
      <c r="B60" s="28"/>
      <c r="C60" s="32">
        <f>C55</f>
        <v>55386</v>
      </c>
      <c r="D60" s="32">
        <f>D55</f>
        <v>21001</v>
      </c>
      <c r="E60" s="32">
        <f>E55</f>
        <v>34385</v>
      </c>
      <c r="F60" s="32">
        <f>F55</f>
        <v>0</v>
      </c>
      <c r="G60" s="32">
        <f>SUM(G61:G63)</f>
        <v>40722</v>
      </c>
      <c r="H60" s="32">
        <f aca="true" t="shared" si="17" ref="H60:U60">SUM(H61:H63)</f>
        <v>15108</v>
      </c>
      <c r="I60" s="32">
        <f t="shared" si="17"/>
        <v>25614</v>
      </c>
      <c r="J60" s="32">
        <f t="shared" si="17"/>
        <v>0</v>
      </c>
      <c r="K60" s="32">
        <f t="shared" si="17"/>
        <v>50312</v>
      </c>
      <c r="L60" s="32">
        <f t="shared" si="17"/>
        <v>17680</v>
      </c>
      <c r="M60" s="32">
        <f t="shared" si="17"/>
        <v>32632</v>
      </c>
      <c r="N60" s="32">
        <f t="shared" si="17"/>
        <v>0</v>
      </c>
      <c r="O60" s="32">
        <f t="shared" si="17"/>
        <v>62960</v>
      </c>
      <c r="P60" s="32">
        <f t="shared" si="17"/>
        <v>24342</v>
      </c>
      <c r="Q60" s="32">
        <f t="shared" si="17"/>
        <v>38618</v>
      </c>
      <c r="R60" s="32">
        <f t="shared" si="17"/>
        <v>0</v>
      </c>
      <c r="S60" s="32">
        <f t="shared" si="17"/>
        <v>54780</v>
      </c>
      <c r="T60" s="32">
        <f t="shared" si="17"/>
        <v>9398</v>
      </c>
      <c r="U60" s="32">
        <f t="shared" si="17"/>
        <v>45382</v>
      </c>
    </row>
    <row r="61" spans="1:21" s="28" customFormat="1" ht="15" customHeight="1">
      <c r="A61" s="9" t="s">
        <v>59</v>
      </c>
      <c r="C61" s="19">
        <v>52736</v>
      </c>
      <c r="D61" s="19">
        <v>18937</v>
      </c>
      <c r="E61" s="19">
        <v>33799</v>
      </c>
      <c r="F61" s="9"/>
      <c r="G61" s="19">
        <v>40093</v>
      </c>
      <c r="H61" s="19">
        <v>14953</v>
      </c>
      <c r="I61" s="19">
        <v>25140</v>
      </c>
      <c r="K61" s="19">
        <v>49270</v>
      </c>
      <c r="L61" s="19">
        <v>17493</v>
      </c>
      <c r="M61" s="19">
        <v>31777</v>
      </c>
      <c r="O61" s="19">
        <v>62072</v>
      </c>
      <c r="P61" s="19">
        <f>O61-Q61</f>
        <v>24219</v>
      </c>
      <c r="Q61" s="19">
        <v>37853</v>
      </c>
      <c r="S61" s="34">
        <f>+T61+U61</f>
        <v>54118</v>
      </c>
      <c r="T61" s="34">
        <v>9279</v>
      </c>
      <c r="U61" s="34">
        <v>44839</v>
      </c>
    </row>
    <row r="62" spans="1:21" s="28" customFormat="1" ht="15" customHeight="1">
      <c r="A62" s="9" t="s">
        <v>60</v>
      </c>
      <c r="C62" s="50">
        <v>0</v>
      </c>
      <c r="D62" s="50">
        <v>0</v>
      </c>
      <c r="E62" s="50">
        <v>0</v>
      </c>
      <c r="G62" s="50">
        <v>0</v>
      </c>
      <c r="H62" s="50">
        <v>0</v>
      </c>
      <c r="I62" s="50">
        <v>0</v>
      </c>
      <c r="K62" s="50">
        <v>0</v>
      </c>
      <c r="L62" s="50">
        <v>0</v>
      </c>
      <c r="M62" s="50">
        <v>0</v>
      </c>
      <c r="O62" s="50">
        <v>0</v>
      </c>
      <c r="P62" s="50">
        <f>O62-Q62</f>
        <v>0</v>
      </c>
      <c r="Q62" s="50">
        <v>0</v>
      </c>
      <c r="S62" s="80">
        <v>0</v>
      </c>
      <c r="T62" s="80">
        <v>0</v>
      </c>
      <c r="U62" s="80">
        <v>0</v>
      </c>
    </row>
    <row r="63" spans="1:21" s="28" customFormat="1" ht="15" customHeight="1">
      <c r="A63" s="9" t="s">
        <v>61</v>
      </c>
      <c r="C63" s="19">
        <v>2650</v>
      </c>
      <c r="D63" s="19">
        <v>2064</v>
      </c>
      <c r="E63" s="19">
        <v>586</v>
      </c>
      <c r="F63" s="9"/>
      <c r="G63" s="19">
        <v>629</v>
      </c>
      <c r="H63" s="19">
        <v>155</v>
      </c>
      <c r="I63" s="19">
        <v>474</v>
      </c>
      <c r="K63" s="19">
        <v>1042</v>
      </c>
      <c r="L63" s="19">
        <v>187</v>
      </c>
      <c r="M63" s="19">
        <v>855</v>
      </c>
      <c r="O63" s="19">
        <v>888</v>
      </c>
      <c r="P63" s="19">
        <f>O63-Q63</f>
        <v>123</v>
      </c>
      <c r="Q63" s="19">
        <v>765</v>
      </c>
      <c r="S63" s="34">
        <f>+T63+U63</f>
        <v>662</v>
      </c>
      <c r="T63" s="34">
        <v>119</v>
      </c>
      <c r="U63" s="34">
        <v>543</v>
      </c>
    </row>
    <row r="64" spans="1:17" s="28" customFormat="1" ht="15" customHeight="1">
      <c r="A64" s="10"/>
      <c r="C64" s="19"/>
      <c r="D64" s="19"/>
      <c r="E64" s="19"/>
      <c r="F64" s="10"/>
      <c r="G64" s="19"/>
      <c r="H64" s="19"/>
      <c r="I64" s="19"/>
      <c r="J64" s="24"/>
      <c r="K64" s="19"/>
      <c r="L64" s="19"/>
      <c r="M64" s="19"/>
      <c r="N64" s="24"/>
      <c r="O64" s="19"/>
      <c r="P64" s="19"/>
      <c r="Q64" s="19"/>
    </row>
    <row r="65" spans="1:21" ht="18" customHeight="1">
      <c r="A65" s="7" t="s">
        <v>62</v>
      </c>
      <c r="C65" s="32">
        <f>C67+C76+C79</f>
        <v>1428250</v>
      </c>
      <c r="D65" s="32">
        <f aca="true" t="shared" si="18" ref="D65:Q65">D67+D76+D79</f>
        <v>874418</v>
      </c>
      <c r="E65" s="32">
        <f t="shared" si="18"/>
        <v>553832</v>
      </c>
      <c r="F65" s="32">
        <f t="shared" si="18"/>
        <v>0</v>
      </c>
      <c r="G65" s="32">
        <f t="shared" si="18"/>
        <v>1416727</v>
      </c>
      <c r="H65" s="32">
        <f t="shared" si="18"/>
        <v>820609</v>
      </c>
      <c r="I65" s="32">
        <f t="shared" si="18"/>
        <v>596118</v>
      </c>
      <c r="J65" s="32">
        <f t="shared" si="18"/>
        <v>0</v>
      </c>
      <c r="K65" s="32">
        <f t="shared" si="18"/>
        <v>1443266</v>
      </c>
      <c r="L65" s="32">
        <f t="shared" si="18"/>
        <v>912128</v>
      </c>
      <c r="M65" s="32">
        <f t="shared" si="18"/>
        <v>531138</v>
      </c>
      <c r="N65" s="32">
        <f t="shared" si="18"/>
        <v>0</v>
      </c>
      <c r="O65" s="32">
        <f t="shared" si="18"/>
        <v>1156991</v>
      </c>
      <c r="P65" s="32">
        <f t="shared" si="18"/>
        <v>729835</v>
      </c>
      <c r="Q65" s="32">
        <f t="shared" si="18"/>
        <v>427156</v>
      </c>
      <c r="S65" s="77">
        <f>S67+S76+S79</f>
        <v>981080</v>
      </c>
      <c r="T65" s="77">
        <f>T67+T76+T79</f>
        <v>661953</v>
      </c>
      <c r="U65" s="77">
        <f>U67+U76+U79</f>
        <v>319127</v>
      </c>
    </row>
    <row r="66" spans="1:17" ht="15" customHeight="1">
      <c r="A66" s="14"/>
      <c r="C66" s="48"/>
      <c r="D66" s="48"/>
      <c r="E66" s="48"/>
      <c r="F66" s="26"/>
      <c r="G66" s="48"/>
      <c r="H66" s="48"/>
      <c r="I66" s="48"/>
      <c r="J66" s="26"/>
      <c r="K66" s="48"/>
      <c r="L66" s="48"/>
      <c r="M66" s="48"/>
      <c r="N66" s="26"/>
      <c r="O66" s="48"/>
      <c r="P66" s="48"/>
      <c r="Q66" s="48"/>
    </row>
    <row r="67" spans="1:21" ht="18" customHeight="1">
      <c r="A67" s="7" t="s">
        <v>65</v>
      </c>
      <c r="C67" s="32">
        <v>1296223</v>
      </c>
      <c r="D67" s="32">
        <v>767154</v>
      </c>
      <c r="E67" s="32">
        <v>529069</v>
      </c>
      <c r="F67" s="32"/>
      <c r="G67" s="32">
        <v>1271553</v>
      </c>
      <c r="H67" s="32">
        <v>714256</v>
      </c>
      <c r="I67" s="32">
        <v>557297</v>
      </c>
      <c r="J67" s="32"/>
      <c r="K67" s="32">
        <v>1289801</v>
      </c>
      <c r="L67" s="32">
        <v>786860</v>
      </c>
      <c r="M67" s="32">
        <v>502941</v>
      </c>
      <c r="N67" s="32"/>
      <c r="O67" s="32">
        <f>SUM(O68:O74)</f>
        <v>1015383</v>
      </c>
      <c r="P67" s="32">
        <f>SUM(P68:P74)</f>
        <v>609649</v>
      </c>
      <c r="Q67" s="32">
        <f>SUM(Q68:Q74)</f>
        <v>405734</v>
      </c>
      <c r="S67" s="77">
        <f>SUM(S68:S74)</f>
        <v>862059</v>
      </c>
      <c r="T67" s="77">
        <f>SUM(T68:T74)</f>
        <v>562440</v>
      </c>
      <c r="U67" s="77">
        <f>SUM(U68:U74)</f>
        <v>299619</v>
      </c>
    </row>
    <row r="68" spans="1:21" s="28" customFormat="1" ht="15" customHeight="1">
      <c r="A68" s="9" t="s">
        <v>4</v>
      </c>
      <c r="B68" s="10"/>
      <c r="C68" s="19">
        <v>1188255</v>
      </c>
      <c r="D68" s="19">
        <v>701258</v>
      </c>
      <c r="E68" s="19">
        <v>486997</v>
      </c>
      <c r="G68" s="19">
        <v>1166448</v>
      </c>
      <c r="H68" s="19">
        <v>647548</v>
      </c>
      <c r="I68" s="19">
        <v>518900</v>
      </c>
      <c r="K68" s="19">
        <v>1156436</v>
      </c>
      <c r="L68" s="19">
        <v>693484</v>
      </c>
      <c r="M68" s="19">
        <v>462952</v>
      </c>
      <c r="O68" s="19">
        <v>909899</v>
      </c>
      <c r="P68" s="19">
        <f>O68-Q68</f>
        <v>536395</v>
      </c>
      <c r="Q68" s="19">
        <v>373504</v>
      </c>
      <c r="S68" s="34">
        <f>+T68+U68</f>
        <v>774154</v>
      </c>
      <c r="T68" s="34">
        <v>501365</v>
      </c>
      <c r="U68" s="34">
        <v>272789</v>
      </c>
    </row>
    <row r="69" spans="1:21" s="24" customFormat="1" ht="15" customHeight="1">
      <c r="A69" s="9" t="s">
        <v>0</v>
      </c>
      <c r="B69" s="10"/>
      <c r="C69" s="19">
        <v>42841</v>
      </c>
      <c r="D69" s="19">
        <v>24721</v>
      </c>
      <c r="E69" s="19">
        <v>18120</v>
      </c>
      <c r="F69" s="10"/>
      <c r="G69" s="19">
        <v>41066</v>
      </c>
      <c r="H69" s="19">
        <v>26131</v>
      </c>
      <c r="I69" s="19">
        <v>14935</v>
      </c>
      <c r="K69" s="19">
        <v>63856</v>
      </c>
      <c r="L69" s="19">
        <v>48673</v>
      </c>
      <c r="M69" s="19">
        <v>15183</v>
      </c>
      <c r="O69" s="19">
        <v>70321</v>
      </c>
      <c r="P69" s="19">
        <f aca="true" t="shared" si="19" ref="P69:P74">O69-Q69</f>
        <v>54906</v>
      </c>
      <c r="Q69" s="19">
        <v>15415</v>
      </c>
      <c r="S69" s="34">
        <f aca="true" t="shared" si="20" ref="S69:S74">+T69+U69</f>
        <v>53130</v>
      </c>
      <c r="T69" s="34">
        <v>40646</v>
      </c>
      <c r="U69" s="34">
        <v>12484</v>
      </c>
    </row>
    <row r="70" spans="1:21" s="24" customFormat="1" ht="15" customHeight="1">
      <c r="A70" s="9" t="s">
        <v>9</v>
      </c>
      <c r="B70" s="10"/>
      <c r="C70" s="19">
        <v>1563</v>
      </c>
      <c r="D70" s="19">
        <v>1524</v>
      </c>
      <c r="E70" s="19">
        <v>39</v>
      </c>
      <c r="F70" s="10"/>
      <c r="G70" s="19">
        <v>2975</v>
      </c>
      <c r="H70" s="19">
        <v>2951</v>
      </c>
      <c r="I70" s="19">
        <v>24</v>
      </c>
      <c r="K70" s="19">
        <v>2630</v>
      </c>
      <c r="L70" s="19">
        <v>2453</v>
      </c>
      <c r="M70" s="19">
        <v>177</v>
      </c>
      <c r="O70" s="19">
        <v>1217</v>
      </c>
      <c r="P70" s="19">
        <f t="shared" si="19"/>
        <v>1068</v>
      </c>
      <c r="Q70" s="19">
        <v>149</v>
      </c>
      <c r="S70" s="34">
        <f t="shared" si="20"/>
        <v>618</v>
      </c>
      <c r="T70" s="34">
        <v>617</v>
      </c>
      <c r="U70" s="34">
        <v>1</v>
      </c>
    </row>
    <row r="71" spans="1:21" s="24" customFormat="1" ht="15" customHeight="1">
      <c r="A71" s="9" t="s">
        <v>2</v>
      </c>
      <c r="B71" s="10"/>
      <c r="C71" s="19">
        <v>36746</v>
      </c>
      <c r="D71" s="19">
        <v>24251</v>
      </c>
      <c r="E71" s="19">
        <v>12495</v>
      </c>
      <c r="F71" s="10"/>
      <c r="G71" s="19">
        <v>36596</v>
      </c>
      <c r="H71" s="19">
        <v>24438</v>
      </c>
      <c r="I71" s="19">
        <v>12158</v>
      </c>
      <c r="K71" s="19">
        <v>32562</v>
      </c>
      <c r="L71" s="19">
        <v>21816</v>
      </c>
      <c r="M71" s="19">
        <v>10746</v>
      </c>
      <c r="O71" s="19">
        <v>18363</v>
      </c>
      <c r="P71" s="19">
        <f t="shared" si="19"/>
        <v>9041</v>
      </c>
      <c r="Q71" s="19">
        <v>9322</v>
      </c>
      <c r="S71" s="34">
        <f t="shared" si="20"/>
        <v>19452</v>
      </c>
      <c r="T71" s="34">
        <v>12761</v>
      </c>
      <c r="U71" s="34">
        <v>6691</v>
      </c>
    </row>
    <row r="72" spans="1:21" s="24" customFormat="1" ht="15" customHeight="1">
      <c r="A72" s="9" t="s">
        <v>3</v>
      </c>
      <c r="B72" s="10"/>
      <c r="C72" s="19">
        <v>10362</v>
      </c>
      <c r="D72" s="19">
        <v>4944</v>
      </c>
      <c r="E72" s="19">
        <v>5418</v>
      </c>
      <c r="F72" s="10"/>
      <c r="G72" s="19">
        <v>11944</v>
      </c>
      <c r="H72" s="19">
        <v>5125</v>
      </c>
      <c r="I72" s="19">
        <v>6819</v>
      </c>
      <c r="K72" s="19">
        <v>11904</v>
      </c>
      <c r="L72" s="19">
        <v>3995</v>
      </c>
      <c r="M72" s="19">
        <v>7909</v>
      </c>
      <c r="O72" s="19">
        <v>7904</v>
      </c>
      <c r="P72" s="19">
        <f t="shared" si="19"/>
        <v>4318</v>
      </c>
      <c r="Q72" s="19">
        <v>3586</v>
      </c>
      <c r="S72" s="34">
        <f t="shared" si="20"/>
        <v>6482</v>
      </c>
      <c r="T72" s="34">
        <v>3104</v>
      </c>
      <c r="U72" s="34">
        <v>3378</v>
      </c>
    </row>
    <row r="73" spans="1:21" s="24" customFormat="1" ht="15" customHeight="1">
      <c r="A73" s="9" t="s">
        <v>1</v>
      </c>
      <c r="B73" s="10"/>
      <c r="C73" s="19">
        <v>14142</v>
      </c>
      <c r="D73" s="19">
        <v>10316</v>
      </c>
      <c r="E73" s="19">
        <v>3826</v>
      </c>
      <c r="F73" s="10"/>
      <c r="G73" s="19">
        <v>11960</v>
      </c>
      <c r="H73" s="19">
        <v>8063</v>
      </c>
      <c r="I73" s="19">
        <v>3897</v>
      </c>
      <c r="K73" s="19">
        <v>21916</v>
      </c>
      <c r="L73" s="19">
        <v>16143</v>
      </c>
      <c r="M73" s="19">
        <v>5773</v>
      </c>
      <c r="O73" s="19">
        <v>7046</v>
      </c>
      <c r="P73" s="19">
        <f t="shared" si="19"/>
        <v>3745</v>
      </c>
      <c r="Q73" s="19">
        <v>3301</v>
      </c>
      <c r="S73" s="34">
        <f t="shared" si="20"/>
        <v>7411</v>
      </c>
      <c r="T73" s="34">
        <v>3878</v>
      </c>
      <c r="U73" s="34">
        <v>3533</v>
      </c>
    </row>
    <row r="74" spans="1:21" s="24" customFormat="1" ht="15" customHeight="1">
      <c r="A74" s="9" t="s">
        <v>19</v>
      </c>
      <c r="B74" s="10"/>
      <c r="C74" s="19">
        <v>2314</v>
      </c>
      <c r="D74" s="19">
        <v>140</v>
      </c>
      <c r="E74" s="19">
        <v>2174</v>
      </c>
      <c r="F74" s="10"/>
      <c r="G74" s="19">
        <v>564</v>
      </c>
      <c r="H74" s="51">
        <v>0</v>
      </c>
      <c r="I74" s="19">
        <v>564</v>
      </c>
      <c r="K74" s="19">
        <v>497</v>
      </c>
      <c r="L74" s="19">
        <v>296</v>
      </c>
      <c r="M74" s="19">
        <v>201</v>
      </c>
      <c r="O74" s="19">
        <v>633</v>
      </c>
      <c r="P74" s="19">
        <f t="shared" si="19"/>
        <v>176</v>
      </c>
      <c r="Q74" s="19">
        <v>457</v>
      </c>
      <c r="S74" s="34">
        <f t="shared" si="20"/>
        <v>812</v>
      </c>
      <c r="T74" s="34">
        <f>1+68</f>
        <v>69</v>
      </c>
      <c r="U74" s="34">
        <f>741+2</f>
        <v>743</v>
      </c>
    </row>
    <row r="75" spans="1:17" ht="15" customHeight="1">
      <c r="A75" s="14"/>
      <c r="B75" s="53"/>
      <c r="C75" s="56"/>
      <c r="D75" s="56"/>
      <c r="E75" s="56"/>
      <c r="F75" s="53"/>
      <c r="G75" s="56"/>
      <c r="H75" s="56"/>
      <c r="I75" s="56"/>
      <c r="K75" s="55"/>
      <c r="L75" s="55"/>
      <c r="M75" s="55"/>
      <c r="O75" s="56"/>
      <c r="P75" s="56"/>
      <c r="Q75" s="56"/>
    </row>
    <row r="76" spans="1:21" ht="18" customHeight="1">
      <c r="A76" s="7" t="s">
        <v>66</v>
      </c>
      <c r="C76" s="32">
        <v>35270</v>
      </c>
      <c r="D76" s="32">
        <v>35270</v>
      </c>
      <c r="E76" s="58">
        <v>0</v>
      </c>
      <c r="G76" s="32">
        <v>62678</v>
      </c>
      <c r="H76" s="32">
        <v>62678</v>
      </c>
      <c r="I76" s="58">
        <v>0</v>
      </c>
      <c r="J76" s="32"/>
      <c r="K76" s="32">
        <v>62519</v>
      </c>
      <c r="L76" s="32">
        <v>62519</v>
      </c>
      <c r="M76" s="58">
        <v>0</v>
      </c>
      <c r="N76" s="32"/>
      <c r="O76" s="32">
        <v>51400</v>
      </c>
      <c r="P76" s="32">
        <v>51400</v>
      </c>
      <c r="Q76" s="58">
        <v>0</v>
      </c>
      <c r="S76" s="77">
        <f>S77</f>
        <v>34459</v>
      </c>
      <c r="T76" s="77">
        <f>+T77</f>
        <v>34459</v>
      </c>
      <c r="U76" s="81">
        <f>U77</f>
        <v>0</v>
      </c>
    </row>
    <row r="77" spans="1:21" ht="15" customHeight="1">
      <c r="A77" s="53" t="s">
        <v>18</v>
      </c>
      <c r="C77" s="47">
        <v>35270</v>
      </c>
      <c r="D77" s="47">
        <v>35270</v>
      </c>
      <c r="E77" s="51">
        <v>0</v>
      </c>
      <c r="G77" s="47">
        <v>62678</v>
      </c>
      <c r="H77" s="47">
        <v>62678</v>
      </c>
      <c r="I77" s="51">
        <v>0</v>
      </c>
      <c r="K77" s="47">
        <v>62519</v>
      </c>
      <c r="L77" s="47">
        <v>62519</v>
      </c>
      <c r="M77" s="51">
        <v>0</v>
      </c>
      <c r="O77" s="47">
        <v>51400</v>
      </c>
      <c r="P77" s="47">
        <v>51400</v>
      </c>
      <c r="Q77" s="51">
        <v>0</v>
      </c>
      <c r="S77" s="34">
        <f>+T77+U77</f>
        <v>34459</v>
      </c>
      <c r="T77" s="34">
        <v>34459</v>
      </c>
      <c r="U77" s="80">
        <v>0</v>
      </c>
    </row>
    <row r="78" spans="1:17" ht="15" customHeight="1">
      <c r="A78" s="14"/>
      <c r="C78" s="60"/>
      <c r="D78" s="60"/>
      <c r="E78" s="55"/>
      <c r="G78" s="60"/>
      <c r="H78" s="60"/>
      <c r="I78" s="56"/>
      <c r="K78" s="55"/>
      <c r="L78" s="55"/>
      <c r="M78" s="55"/>
      <c r="O78" s="60"/>
      <c r="P78" s="60"/>
      <c r="Q78" s="56"/>
    </row>
    <row r="79" spans="1:21" ht="18" customHeight="1">
      <c r="A79" s="7" t="s">
        <v>68</v>
      </c>
      <c r="C79" s="32">
        <v>96757</v>
      </c>
      <c r="D79" s="32">
        <v>71994</v>
      </c>
      <c r="E79" s="32">
        <v>24763</v>
      </c>
      <c r="G79" s="32">
        <v>82496</v>
      </c>
      <c r="H79" s="32">
        <v>43675</v>
      </c>
      <c r="I79" s="32">
        <v>38821</v>
      </c>
      <c r="J79" s="32"/>
      <c r="K79" s="32">
        <v>90946</v>
      </c>
      <c r="L79" s="32">
        <v>62749</v>
      </c>
      <c r="M79" s="32">
        <v>28197</v>
      </c>
      <c r="N79" s="32"/>
      <c r="O79" s="32">
        <f>SUM(O80:O86)</f>
        <v>90208</v>
      </c>
      <c r="P79" s="32">
        <f>SUM(P80:P86)</f>
        <v>68786</v>
      </c>
      <c r="Q79" s="32">
        <f>SUM(Q80:Q86)</f>
        <v>21422</v>
      </c>
      <c r="S79" s="77">
        <f>SUM(S80:S86)</f>
        <v>84562</v>
      </c>
      <c r="T79" s="77">
        <f>SUM(T80:T86)</f>
        <v>65054</v>
      </c>
      <c r="U79" s="77">
        <f>SUM(U80:U86)</f>
        <v>19508</v>
      </c>
    </row>
    <row r="80" spans="1:21" s="28" customFormat="1" ht="15" customHeight="1">
      <c r="A80" s="9" t="s">
        <v>4</v>
      </c>
      <c r="B80" s="9"/>
      <c r="C80" s="19">
        <v>61588</v>
      </c>
      <c r="D80" s="19">
        <v>40776</v>
      </c>
      <c r="E80" s="19">
        <v>20812</v>
      </c>
      <c r="F80" s="10"/>
      <c r="G80" s="19">
        <v>57169</v>
      </c>
      <c r="H80" s="19">
        <v>20831</v>
      </c>
      <c r="I80" s="19">
        <v>36338</v>
      </c>
      <c r="K80" s="19">
        <v>55659</v>
      </c>
      <c r="L80" s="19">
        <v>31169</v>
      </c>
      <c r="M80" s="19">
        <v>24490</v>
      </c>
      <c r="O80" s="19">
        <v>53506</v>
      </c>
      <c r="P80" s="19">
        <f>O80-Q80</f>
        <v>36515</v>
      </c>
      <c r="Q80" s="19">
        <v>16991</v>
      </c>
      <c r="S80" s="34">
        <f aca="true" t="shared" si="21" ref="S80:S85">+T80+U80</f>
        <v>44996</v>
      </c>
      <c r="T80" s="34">
        <v>29524</v>
      </c>
      <c r="U80" s="34">
        <v>15472</v>
      </c>
    </row>
    <row r="81" spans="1:21" s="24" customFormat="1" ht="15" customHeight="1">
      <c r="A81" s="9" t="s">
        <v>0</v>
      </c>
      <c r="B81" s="10"/>
      <c r="C81" s="19">
        <v>2620</v>
      </c>
      <c r="D81" s="19">
        <v>1436</v>
      </c>
      <c r="E81" s="19">
        <v>1184</v>
      </c>
      <c r="F81" s="10"/>
      <c r="G81" s="19">
        <v>1964</v>
      </c>
      <c r="H81" s="19">
        <v>1769</v>
      </c>
      <c r="I81" s="19">
        <v>195</v>
      </c>
      <c r="K81" s="19">
        <v>2506</v>
      </c>
      <c r="L81" s="19">
        <v>1681</v>
      </c>
      <c r="M81" s="19">
        <v>825</v>
      </c>
      <c r="O81" s="22">
        <v>2383</v>
      </c>
      <c r="P81" s="19">
        <f aca="true" t="shared" si="22" ref="P81:P86">O81-Q81</f>
        <v>1472</v>
      </c>
      <c r="Q81" s="22">
        <v>911</v>
      </c>
      <c r="S81" s="34">
        <f t="shared" si="21"/>
        <v>2478</v>
      </c>
      <c r="T81" s="34">
        <v>1678</v>
      </c>
      <c r="U81" s="34">
        <v>800</v>
      </c>
    </row>
    <row r="82" spans="1:21" s="24" customFormat="1" ht="15" customHeight="1">
      <c r="A82" s="9" t="s">
        <v>9</v>
      </c>
      <c r="B82" s="10"/>
      <c r="C82" s="50">
        <v>16</v>
      </c>
      <c r="D82" s="50">
        <v>9</v>
      </c>
      <c r="E82" s="50">
        <v>7</v>
      </c>
      <c r="F82" s="10"/>
      <c r="G82" s="19">
        <v>3</v>
      </c>
      <c r="H82" s="51">
        <v>0</v>
      </c>
      <c r="I82" s="19">
        <v>3</v>
      </c>
      <c r="K82" s="19">
        <v>117</v>
      </c>
      <c r="L82" s="19">
        <v>90</v>
      </c>
      <c r="M82" s="50">
        <v>27</v>
      </c>
      <c r="O82" s="22">
        <v>171</v>
      </c>
      <c r="P82" s="19">
        <f t="shared" si="22"/>
        <v>169</v>
      </c>
      <c r="Q82" s="22">
        <v>2</v>
      </c>
      <c r="S82" s="34">
        <f t="shared" si="21"/>
        <v>305</v>
      </c>
      <c r="T82" s="34">
        <v>299</v>
      </c>
      <c r="U82" s="34">
        <v>6</v>
      </c>
    </row>
    <row r="83" spans="1:21" s="24" customFormat="1" ht="15" customHeight="1">
      <c r="A83" s="9" t="s">
        <v>2</v>
      </c>
      <c r="B83" s="10"/>
      <c r="C83" s="19">
        <v>30051</v>
      </c>
      <c r="D83" s="19">
        <v>27570</v>
      </c>
      <c r="E83" s="19">
        <v>2481</v>
      </c>
      <c r="F83" s="10"/>
      <c r="G83" s="19">
        <v>22682</v>
      </c>
      <c r="H83" s="19">
        <v>20550</v>
      </c>
      <c r="I83" s="19">
        <v>2132</v>
      </c>
      <c r="K83" s="19">
        <v>30457</v>
      </c>
      <c r="L83" s="19">
        <v>28197</v>
      </c>
      <c r="M83" s="19">
        <v>2260</v>
      </c>
      <c r="O83" s="22">
        <v>32297</v>
      </c>
      <c r="P83" s="19">
        <f t="shared" si="22"/>
        <v>29279</v>
      </c>
      <c r="Q83" s="22">
        <v>3018</v>
      </c>
      <c r="S83" s="34">
        <f t="shared" si="21"/>
        <v>34759</v>
      </c>
      <c r="T83" s="34">
        <v>31775</v>
      </c>
      <c r="U83" s="34">
        <v>2984</v>
      </c>
    </row>
    <row r="84" spans="1:21" s="24" customFormat="1" ht="15" customHeight="1">
      <c r="A84" s="9" t="s">
        <v>3</v>
      </c>
      <c r="B84" s="10"/>
      <c r="C84" s="19">
        <v>939</v>
      </c>
      <c r="D84" s="19">
        <v>905</v>
      </c>
      <c r="E84" s="19">
        <v>34</v>
      </c>
      <c r="F84" s="10"/>
      <c r="G84" s="19">
        <v>104</v>
      </c>
      <c r="H84" s="19">
        <v>102</v>
      </c>
      <c r="I84" s="19">
        <v>2</v>
      </c>
      <c r="K84" s="19">
        <v>877</v>
      </c>
      <c r="L84" s="19">
        <v>719</v>
      </c>
      <c r="M84" s="19">
        <v>158</v>
      </c>
      <c r="O84" s="19">
        <v>590</v>
      </c>
      <c r="P84" s="19">
        <f t="shared" si="22"/>
        <v>377</v>
      </c>
      <c r="Q84" s="19">
        <v>213</v>
      </c>
      <c r="S84" s="34">
        <f t="shared" si="21"/>
        <v>539</v>
      </c>
      <c r="T84" s="34">
        <v>519</v>
      </c>
      <c r="U84" s="34">
        <v>20</v>
      </c>
    </row>
    <row r="85" spans="1:21" s="24" customFormat="1" ht="15" customHeight="1">
      <c r="A85" s="9" t="s">
        <v>1</v>
      </c>
      <c r="B85" s="10"/>
      <c r="C85" s="19">
        <v>562</v>
      </c>
      <c r="D85" s="19">
        <v>318</v>
      </c>
      <c r="E85" s="19">
        <v>244</v>
      </c>
      <c r="F85" s="10"/>
      <c r="G85" s="19">
        <v>456</v>
      </c>
      <c r="H85" s="19">
        <v>313</v>
      </c>
      <c r="I85" s="19">
        <v>143</v>
      </c>
      <c r="K85" s="19">
        <v>1039</v>
      </c>
      <c r="L85" s="19">
        <v>602</v>
      </c>
      <c r="M85" s="19">
        <v>437</v>
      </c>
      <c r="O85" s="19">
        <v>1255</v>
      </c>
      <c r="P85" s="19">
        <f t="shared" si="22"/>
        <v>969</v>
      </c>
      <c r="Q85" s="19">
        <v>286</v>
      </c>
      <c r="S85" s="34">
        <f t="shared" si="21"/>
        <v>1218</v>
      </c>
      <c r="T85" s="34">
        <v>995</v>
      </c>
      <c r="U85" s="34">
        <v>223</v>
      </c>
    </row>
    <row r="86" spans="1:21" s="24" customFormat="1" ht="15" customHeight="1">
      <c r="A86" s="9" t="s">
        <v>19</v>
      </c>
      <c r="B86" s="10"/>
      <c r="C86" s="19">
        <v>981</v>
      </c>
      <c r="D86" s="19">
        <v>980</v>
      </c>
      <c r="E86" s="19">
        <v>1</v>
      </c>
      <c r="F86" s="10"/>
      <c r="G86" s="19">
        <v>118</v>
      </c>
      <c r="H86" s="19">
        <v>110</v>
      </c>
      <c r="I86" s="19">
        <v>8</v>
      </c>
      <c r="K86" s="19">
        <v>291</v>
      </c>
      <c r="L86" s="19">
        <v>291</v>
      </c>
      <c r="M86" s="51">
        <v>0</v>
      </c>
      <c r="O86" s="19">
        <v>6</v>
      </c>
      <c r="P86" s="19">
        <f t="shared" si="22"/>
        <v>5</v>
      </c>
      <c r="Q86" s="19">
        <v>1</v>
      </c>
      <c r="S86" s="34">
        <f>+T86+U86</f>
        <v>267</v>
      </c>
      <c r="T86" s="80">
        <v>264</v>
      </c>
      <c r="U86" s="34">
        <f>3</f>
        <v>3</v>
      </c>
    </row>
    <row r="88" ht="15" customHeight="1">
      <c r="A88" s="13" t="s">
        <v>14</v>
      </c>
    </row>
    <row r="89" spans="1:17" s="30" customFormat="1" ht="15" customHeight="1">
      <c r="A89" s="88" t="s">
        <v>15</v>
      </c>
      <c r="B89" s="88"/>
      <c r="C89" s="88"/>
      <c r="D89" s="88"/>
      <c r="E89" s="88"/>
      <c r="F89" s="88"/>
      <c r="G89" s="88"/>
      <c r="H89" s="61"/>
      <c r="I89" s="61"/>
      <c r="J89" s="61"/>
      <c r="K89" s="61"/>
      <c r="L89" s="61"/>
      <c r="M89" s="61"/>
      <c r="N89" s="61"/>
      <c r="O89" s="3"/>
      <c r="P89" s="3"/>
      <c r="Q89" s="3"/>
    </row>
    <row r="90" spans="1:14" s="30" customFormat="1" ht="15" customHeight="1">
      <c r="A90" s="90" t="s">
        <v>16</v>
      </c>
      <c r="B90" s="90"/>
      <c r="C90" s="90"/>
      <c r="D90" s="90"/>
      <c r="E90" s="90"/>
      <c r="F90" s="90"/>
      <c r="G90" s="90"/>
      <c r="H90" s="90"/>
      <c r="I90" s="90"/>
      <c r="J90" s="90"/>
      <c r="K90" s="16"/>
      <c r="L90" s="16"/>
      <c r="M90" s="16"/>
      <c r="N90" s="16"/>
    </row>
    <row r="91" spans="1:14" s="30" customFormat="1" ht="15" customHeight="1">
      <c r="A91" s="16" t="s">
        <v>67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7" ht="15" customHeight="1">
      <c r="A92" s="88" t="s">
        <v>63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O92" s="30"/>
      <c r="P92" s="30"/>
      <c r="Q92" s="30"/>
    </row>
    <row r="94" ht="15" customHeight="1">
      <c r="A94" s="3" t="s">
        <v>41</v>
      </c>
    </row>
  </sheetData>
  <sheetProtection/>
  <mergeCells count="16">
    <mergeCell ref="A89:G89"/>
    <mergeCell ref="A90:J90"/>
    <mergeCell ref="A92:K92"/>
    <mergeCell ref="K50:M50"/>
    <mergeCell ref="G50:I50"/>
    <mergeCell ref="O6:Q6"/>
    <mergeCell ref="O50:Q50"/>
    <mergeCell ref="B2:G2"/>
    <mergeCell ref="C6:E6"/>
    <mergeCell ref="G6:I6"/>
    <mergeCell ref="K6:M6"/>
    <mergeCell ref="C50:E50"/>
    <mergeCell ref="B3:U3"/>
    <mergeCell ref="B4:U4"/>
    <mergeCell ref="S6:U6"/>
    <mergeCell ref="S50:U50"/>
  </mergeCells>
  <printOptions/>
  <pageMargins left="0.25" right="0.25" top="0.75" bottom="0.75" header="0.3" footer="0.3"/>
  <pageSetup horizontalDpi="600" verticalDpi="600" orientation="landscape" paperSize="5" scale="65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09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D17" sqref="D17"/>
    </sheetView>
  </sheetViews>
  <sheetFormatPr defaultColWidth="9.140625" defaultRowHeight="15" customHeight="1"/>
  <cols>
    <col min="1" max="1" width="74.00390625" style="3" customWidth="1"/>
    <col min="2" max="2" width="2.7109375" style="3" customWidth="1"/>
    <col min="3" max="5" width="14.7109375" style="3" customWidth="1"/>
    <col min="6" max="6" width="2.7109375" style="3" customWidth="1"/>
    <col min="7" max="9" width="14.7109375" style="3" customWidth="1"/>
    <col min="10" max="10" width="2.7109375" style="3" customWidth="1"/>
    <col min="11" max="13" width="14.7109375" style="3" customWidth="1"/>
    <col min="14" max="14" width="2.7109375" style="3" customWidth="1"/>
    <col min="15" max="17" width="14.7109375" style="3" customWidth="1"/>
    <col min="18" max="18" width="2.7109375" style="3" customWidth="1"/>
    <col min="19" max="21" width="14.7109375" style="3" customWidth="1"/>
    <col min="22" max="22" width="2.7109375" style="3" customWidth="1"/>
    <col min="23" max="23" width="14.7109375" style="3" customWidth="1"/>
    <col min="24" max="24" width="6.8515625" style="3" customWidth="1"/>
    <col min="25" max="25" width="14.7109375" style="3" customWidth="1"/>
    <col min="26" max="26" width="2.7109375" style="3" customWidth="1"/>
    <col min="27" max="29" width="14.7109375" style="3" customWidth="1"/>
    <col min="30" max="30" width="2.7109375" style="3" customWidth="1"/>
    <col min="31" max="33" width="14.7109375" style="3" customWidth="1"/>
    <col min="34" max="34" width="2.7109375" style="3" customWidth="1"/>
    <col min="35" max="37" width="14.8515625" style="3" customWidth="1"/>
    <col min="38" max="38" width="1.28515625" style="3" customWidth="1"/>
    <col min="39" max="41" width="14.8515625" style="3" customWidth="1"/>
    <col min="42" max="42" width="2.7109375" style="3" customWidth="1"/>
    <col min="43" max="45" width="14.8515625" style="3" customWidth="1"/>
    <col min="46" max="46" width="2.7109375" style="3" customWidth="1"/>
    <col min="47" max="49" width="14.8515625" style="3" customWidth="1"/>
    <col min="50" max="50" width="2.7109375" style="3" customWidth="1"/>
    <col min="51" max="16384" width="9.140625" style="3" customWidth="1"/>
  </cols>
  <sheetData>
    <row r="3" spans="2:21" ht="15" customHeight="1">
      <c r="B3" s="92" t="s">
        <v>10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2:21" ht="15" customHeight="1">
      <c r="B4" s="93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6" spans="1:21" ht="15" customHeight="1">
      <c r="A6" s="4"/>
      <c r="C6" s="89">
        <v>2017</v>
      </c>
      <c r="D6" s="89"/>
      <c r="E6" s="89"/>
      <c r="G6" s="89">
        <v>2018</v>
      </c>
      <c r="H6" s="89"/>
      <c r="I6" s="89"/>
      <c r="K6" s="89">
        <v>2019</v>
      </c>
      <c r="L6" s="89"/>
      <c r="M6" s="89"/>
      <c r="O6" s="89">
        <v>2020</v>
      </c>
      <c r="P6" s="89"/>
      <c r="Q6" s="89"/>
      <c r="S6" s="89">
        <v>2021</v>
      </c>
      <c r="T6" s="89"/>
      <c r="U6" s="89"/>
    </row>
    <row r="7" spans="3:21" ht="15" customHeight="1" thickBot="1">
      <c r="C7" s="1" t="s">
        <v>5</v>
      </c>
      <c r="D7" s="1" t="s">
        <v>8</v>
      </c>
      <c r="E7" s="1" t="s">
        <v>7</v>
      </c>
      <c r="G7" s="1" t="s">
        <v>5</v>
      </c>
      <c r="H7" s="1" t="s">
        <v>8</v>
      </c>
      <c r="I7" s="1" t="s">
        <v>7</v>
      </c>
      <c r="K7" s="1" t="s">
        <v>5</v>
      </c>
      <c r="L7" s="1" t="s">
        <v>8</v>
      </c>
      <c r="M7" s="1" t="s">
        <v>7</v>
      </c>
      <c r="O7" s="1" t="s">
        <v>5</v>
      </c>
      <c r="P7" s="1" t="s">
        <v>8</v>
      </c>
      <c r="Q7" s="1" t="s">
        <v>7</v>
      </c>
      <c r="S7" s="1" t="s">
        <v>5</v>
      </c>
      <c r="T7" s="1" t="s">
        <v>8</v>
      </c>
      <c r="U7" s="1" t="s">
        <v>7</v>
      </c>
    </row>
    <row r="8" spans="1:21" ht="18" customHeight="1" thickTop="1">
      <c r="A8" s="5" t="s">
        <v>50</v>
      </c>
      <c r="B8" s="17"/>
      <c r="C8" s="36">
        <f>C10+C14</f>
        <v>934031</v>
      </c>
      <c r="D8" s="36">
        <f>D10+D14</f>
        <v>650130</v>
      </c>
      <c r="E8" s="36">
        <f>E10+E14</f>
        <v>283901</v>
      </c>
      <c r="G8" s="31">
        <f>G10+G14</f>
        <v>672422</v>
      </c>
      <c r="H8" s="31">
        <f>H10+H14</f>
        <v>417146</v>
      </c>
      <c r="I8" s="31">
        <f>I10+I14</f>
        <v>255276</v>
      </c>
      <c r="K8" s="31">
        <f>K10+K14</f>
        <v>662661</v>
      </c>
      <c r="L8" s="31">
        <f>L10+L14</f>
        <v>409541</v>
      </c>
      <c r="M8" s="31">
        <f>M10+M14</f>
        <v>253120</v>
      </c>
      <c r="O8" s="31">
        <f>O10+O14</f>
        <v>597978</v>
      </c>
      <c r="P8" s="31">
        <f>P10+P14</f>
        <v>359458</v>
      </c>
      <c r="Q8" s="31">
        <f>Q10+Q14</f>
        <v>238520</v>
      </c>
      <c r="S8" s="31">
        <f>S10+S14</f>
        <v>520991</v>
      </c>
      <c r="T8" s="31">
        <f>T10+T14</f>
        <v>294275</v>
      </c>
      <c r="U8" s="31">
        <f>U10+U14</f>
        <v>226716</v>
      </c>
    </row>
    <row r="9" spans="1:2" ht="12" customHeight="1">
      <c r="A9" s="6"/>
      <c r="B9" s="18"/>
    </row>
    <row r="10" spans="1:21" ht="15" customHeight="1">
      <c r="A10" s="7" t="s">
        <v>43</v>
      </c>
      <c r="B10" s="19"/>
      <c r="C10" s="32">
        <f>C24+C19</f>
        <v>931857</v>
      </c>
      <c r="D10" s="32">
        <f>D24+D19</f>
        <v>650047</v>
      </c>
      <c r="E10" s="32">
        <f>E24+E19</f>
        <v>281810</v>
      </c>
      <c r="G10" s="32">
        <f>G24+G19</f>
        <v>670147</v>
      </c>
      <c r="H10" s="32">
        <f>H24+H19</f>
        <v>417067</v>
      </c>
      <c r="I10" s="32">
        <f>I24+I19</f>
        <v>253080</v>
      </c>
      <c r="K10" s="32">
        <f>K24+K19</f>
        <v>660366</v>
      </c>
      <c r="L10" s="32">
        <f>L24+L19</f>
        <v>409459</v>
      </c>
      <c r="M10" s="32">
        <f>M24+M19</f>
        <v>250907</v>
      </c>
      <c r="O10" s="32">
        <f>O24+O19</f>
        <v>595352</v>
      </c>
      <c r="P10" s="32">
        <f>P24+P19</f>
        <v>359382</v>
      </c>
      <c r="Q10" s="32">
        <f>Q24+Q19</f>
        <v>235970</v>
      </c>
      <c r="S10" s="32">
        <f>S24+S19</f>
        <v>518317</v>
      </c>
      <c r="T10" s="32">
        <f>T24+T19</f>
        <v>294192</v>
      </c>
      <c r="U10" s="32">
        <f>U24+U19</f>
        <v>224125</v>
      </c>
    </row>
    <row r="11" spans="1:21" ht="15" customHeight="1">
      <c r="A11" s="8" t="s">
        <v>52</v>
      </c>
      <c r="B11" s="20"/>
      <c r="C11" s="34">
        <f>+D11+E11</f>
        <v>17165</v>
      </c>
      <c r="D11" s="34">
        <f>+D19</f>
        <v>5676</v>
      </c>
      <c r="E11" s="34">
        <f>+E19</f>
        <v>11489</v>
      </c>
      <c r="G11" s="18">
        <f>H11+I11</f>
        <v>17684</v>
      </c>
      <c r="H11" s="18">
        <f>H19</f>
        <v>4795</v>
      </c>
      <c r="I11" s="18">
        <f>I19</f>
        <v>12889</v>
      </c>
      <c r="K11" s="18">
        <f>L11+M11</f>
        <v>20842</v>
      </c>
      <c r="L11" s="18">
        <f>L19</f>
        <v>4077</v>
      </c>
      <c r="M11" s="18">
        <f>M19</f>
        <v>16765</v>
      </c>
      <c r="O11" s="37">
        <f>P11+Q11</f>
        <v>16391</v>
      </c>
      <c r="P11" s="37">
        <f>P19</f>
        <v>3296</v>
      </c>
      <c r="Q11" s="37">
        <f>Q19</f>
        <v>13095</v>
      </c>
      <c r="S11" s="37">
        <f>T11+U11</f>
        <v>15338</v>
      </c>
      <c r="T11" s="37">
        <f>T19</f>
        <v>1062</v>
      </c>
      <c r="U11" s="37">
        <f>U19</f>
        <v>14276</v>
      </c>
    </row>
    <row r="12" spans="1:21" ht="15" customHeight="1">
      <c r="A12" s="8" t="s">
        <v>55</v>
      </c>
      <c r="B12" s="21"/>
      <c r="C12" s="34">
        <f>+D12+E12</f>
        <v>914692</v>
      </c>
      <c r="D12" s="34">
        <f>+D24</f>
        <v>644371</v>
      </c>
      <c r="E12" s="34">
        <f>+E24</f>
        <v>270321</v>
      </c>
      <c r="G12" s="18">
        <f>H12+I12</f>
        <v>652463</v>
      </c>
      <c r="H12" s="18">
        <f>H24</f>
        <v>412272</v>
      </c>
      <c r="I12" s="18">
        <f>I24</f>
        <v>240191</v>
      </c>
      <c r="K12" s="18">
        <f>L12+M12</f>
        <v>639524</v>
      </c>
      <c r="L12" s="18">
        <f>L24</f>
        <v>405382</v>
      </c>
      <c r="M12" s="18">
        <f>M24</f>
        <v>234142</v>
      </c>
      <c r="O12" s="37">
        <f>P12+Q12</f>
        <v>578961</v>
      </c>
      <c r="P12" s="37">
        <f>P24</f>
        <v>356086</v>
      </c>
      <c r="Q12" s="37">
        <f>Q24</f>
        <v>222875</v>
      </c>
      <c r="S12" s="37">
        <f>T12+U12</f>
        <v>502979</v>
      </c>
      <c r="T12" s="37">
        <f>T24</f>
        <v>293130</v>
      </c>
      <c r="U12" s="37">
        <f>U24</f>
        <v>209849</v>
      </c>
    </row>
    <row r="13" spans="1:5" ht="7.5" customHeight="1">
      <c r="A13" s="8"/>
      <c r="C13" s="22"/>
      <c r="D13" s="22"/>
      <c r="E13" s="22"/>
    </row>
    <row r="14" spans="1:21" ht="15" customHeight="1">
      <c r="A14" s="7" t="s">
        <v>71</v>
      </c>
      <c r="B14" s="19"/>
      <c r="C14" s="33">
        <f>SUM(C15:C17)</f>
        <v>2174</v>
      </c>
      <c r="D14" s="33">
        <f>C14-E14</f>
        <v>83</v>
      </c>
      <c r="E14" s="33">
        <f>SUM(E15:E17)</f>
        <v>2091</v>
      </c>
      <c r="G14" s="33">
        <f>SUM(G15:G17)</f>
        <v>2275</v>
      </c>
      <c r="H14" s="33">
        <f>G14-I14</f>
        <v>79</v>
      </c>
      <c r="I14" s="33">
        <f>SUM(I15:I17)</f>
        <v>2196</v>
      </c>
      <c r="K14" s="33">
        <f>SUM(K15:K17)</f>
        <v>2295</v>
      </c>
      <c r="L14" s="33">
        <f>K14-M14</f>
        <v>82</v>
      </c>
      <c r="M14" s="33">
        <f>SUM(M15:M17)</f>
        <v>2213</v>
      </c>
      <c r="O14" s="33">
        <f>SUM(O15:O17)</f>
        <v>2626</v>
      </c>
      <c r="P14" s="33">
        <f>O14-Q14</f>
        <v>76</v>
      </c>
      <c r="Q14" s="33">
        <f>SUM(Q15:Q17)</f>
        <v>2550</v>
      </c>
      <c r="S14" s="33">
        <f>SUM(S15:S17)</f>
        <v>2674</v>
      </c>
      <c r="T14" s="33">
        <f>S14-U14</f>
        <v>83</v>
      </c>
      <c r="U14" s="33">
        <f>SUM(U15:U17)</f>
        <v>2591</v>
      </c>
    </row>
    <row r="15" spans="1:21" ht="15" customHeight="1">
      <c r="A15" s="9" t="s">
        <v>47</v>
      </c>
      <c r="B15" s="22"/>
      <c r="C15" s="34">
        <f>+D15+E15</f>
        <v>2151</v>
      </c>
      <c r="D15" s="82">
        <v>73</v>
      </c>
      <c r="E15" s="82">
        <v>2078</v>
      </c>
      <c r="G15" s="34">
        <f>+H15+I15</f>
        <v>2239</v>
      </c>
      <c r="H15" s="28">
        <v>55</v>
      </c>
      <c r="I15" s="28">
        <f>2171+13</f>
        <v>2184</v>
      </c>
      <c r="K15" s="34">
        <f>+L15+M15</f>
        <v>2262</v>
      </c>
      <c r="L15" s="28">
        <v>61</v>
      </c>
      <c r="M15" s="28">
        <f>2189+12</f>
        <v>2201</v>
      </c>
      <c r="O15" s="34">
        <f>+P15+Q15</f>
        <v>2602</v>
      </c>
      <c r="P15" s="37">
        <v>58</v>
      </c>
      <c r="Q15" s="37">
        <f>2535+9</f>
        <v>2544</v>
      </c>
      <c r="S15" s="34">
        <f>+T15+U15</f>
        <v>2655</v>
      </c>
      <c r="T15" s="37">
        <v>76</v>
      </c>
      <c r="U15" s="37">
        <f>2573+6</f>
        <v>2579</v>
      </c>
    </row>
    <row r="16" spans="1:21" ht="15" customHeight="1">
      <c r="A16" s="9" t="s">
        <v>48</v>
      </c>
      <c r="B16" s="20"/>
      <c r="C16" s="34">
        <f>+D16+E16</f>
        <v>0</v>
      </c>
      <c r="D16" s="83">
        <v>0</v>
      </c>
      <c r="E16" s="83">
        <v>0</v>
      </c>
      <c r="G16" s="34">
        <f>+H16+I16</f>
        <v>0</v>
      </c>
      <c r="H16" s="28">
        <v>0</v>
      </c>
      <c r="I16" s="28">
        <v>0</v>
      </c>
      <c r="K16" s="34">
        <f>+L16+M16</f>
        <v>0</v>
      </c>
      <c r="L16" s="28">
        <v>0</v>
      </c>
      <c r="M16" s="28">
        <v>0</v>
      </c>
      <c r="O16" s="34">
        <f>+P16+Q16</f>
        <v>0</v>
      </c>
      <c r="P16" s="28">
        <v>0</v>
      </c>
      <c r="Q16" s="28">
        <v>0</v>
      </c>
      <c r="S16" s="34">
        <f>+T16+U16</f>
        <v>0</v>
      </c>
      <c r="T16" s="28">
        <v>0</v>
      </c>
      <c r="U16" s="28">
        <v>0</v>
      </c>
    </row>
    <row r="17" spans="1:21" ht="15" customHeight="1">
      <c r="A17" s="9" t="s">
        <v>49</v>
      </c>
      <c r="B17" s="20"/>
      <c r="C17" s="34">
        <f>+D17+E17</f>
        <v>23</v>
      </c>
      <c r="D17" s="82">
        <v>10</v>
      </c>
      <c r="E17" s="82">
        <v>13</v>
      </c>
      <c r="G17" s="34">
        <f>+H17+I17</f>
        <v>36</v>
      </c>
      <c r="H17" s="28">
        <v>24</v>
      </c>
      <c r="I17" s="28">
        <v>12</v>
      </c>
      <c r="K17" s="34">
        <f>+L17+M17</f>
        <v>33</v>
      </c>
      <c r="L17" s="28">
        <v>21</v>
      </c>
      <c r="M17" s="28">
        <f>10+2</f>
        <v>12</v>
      </c>
      <c r="O17" s="34">
        <f>+P17+Q17</f>
        <v>24</v>
      </c>
      <c r="P17" s="37">
        <v>18</v>
      </c>
      <c r="Q17" s="37">
        <f>5+1</f>
        <v>6</v>
      </c>
      <c r="S17" s="34">
        <f>+T17+U17</f>
        <v>19</v>
      </c>
      <c r="T17" s="37">
        <v>7</v>
      </c>
      <c r="U17" s="37">
        <f>3+9</f>
        <v>12</v>
      </c>
    </row>
    <row r="18" spans="1:21" ht="15" customHeight="1">
      <c r="A18" s="9"/>
      <c r="B18" s="19"/>
      <c r="C18" s="19"/>
      <c r="D18" s="19"/>
      <c r="E18" s="19"/>
      <c r="O18" s="28"/>
      <c r="P18" s="28"/>
      <c r="Q18" s="28"/>
      <c r="S18" s="28"/>
      <c r="T18" s="28"/>
      <c r="U18" s="28"/>
    </row>
    <row r="19" spans="1:21" ht="18" customHeight="1">
      <c r="A19" s="7" t="s">
        <v>72</v>
      </c>
      <c r="C19" s="32">
        <f>SUM(C20:C22)</f>
        <v>17165</v>
      </c>
      <c r="D19" s="32">
        <f>SUM(D20:D22)</f>
        <v>5676</v>
      </c>
      <c r="E19" s="32">
        <f>SUM(E20:E22)</f>
        <v>11489</v>
      </c>
      <c r="G19" s="32">
        <f>SUM(G20:G22)</f>
        <v>17684</v>
      </c>
      <c r="H19" s="32">
        <f>SUM(H20:H22)</f>
        <v>4795</v>
      </c>
      <c r="I19" s="32">
        <f>SUM(I20:I22)</f>
        <v>12889</v>
      </c>
      <c r="K19" s="32">
        <f>SUM(K20:K22)</f>
        <v>20842</v>
      </c>
      <c r="L19" s="32">
        <f>SUM(L20:L22)</f>
        <v>4077</v>
      </c>
      <c r="M19" s="32">
        <f>SUM(M20:M22)</f>
        <v>16765</v>
      </c>
      <c r="O19" s="32">
        <f>SUM(O20:O22)</f>
        <v>16391</v>
      </c>
      <c r="P19" s="32">
        <f>SUM(P20:P22)</f>
        <v>3296</v>
      </c>
      <c r="Q19" s="32">
        <f>SUM(Q20:Q22)</f>
        <v>13095</v>
      </c>
      <c r="S19" s="32">
        <f>SUM(S20:S22)</f>
        <v>15338</v>
      </c>
      <c r="T19" s="32">
        <f>SUM(T20:T22)</f>
        <v>1062</v>
      </c>
      <c r="U19" s="32">
        <f>SUM(U20:U22)</f>
        <v>14276</v>
      </c>
    </row>
    <row r="20" spans="1:21" s="24" customFormat="1" ht="15" customHeight="1">
      <c r="A20" s="9" t="s">
        <v>47</v>
      </c>
      <c r="B20" s="23"/>
      <c r="C20" s="34">
        <f>+D20+E20</f>
        <v>11614</v>
      </c>
      <c r="D20" s="82">
        <v>2332</v>
      </c>
      <c r="E20" s="82">
        <v>9282</v>
      </c>
      <c r="G20" s="34">
        <f>+H20+I20</f>
        <v>9853</v>
      </c>
      <c r="H20" s="28">
        <v>676</v>
      </c>
      <c r="I20" s="28">
        <f>9095+82</f>
        <v>9177</v>
      </c>
      <c r="K20" s="34">
        <f>+L20+M20</f>
        <v>11867</v>
      </c>
      <c r="L20" s="28">
        <v>521</v>
      </c>
      <c r="M20" s="28">
        <f>11335+11</f>
        <v>11346</v>
      </c>
      <c r="O20" s="34">
        <f>+P20+Q20</f>
        <v>11062</v>
      </c>
      <c r="P20" s="37">
        <v>445</v>
      </c>
      <c r="Q20" s="37">
        <f>10604+13</f>
        <v>10617</v>
      </c>
      <c r="S20" s="34">
        <f>+T20+U20</f>
        <v>12296</v>
      </c>
      <c r="T20" s="37">
        <v>285</v>
      </c>
      <c r="U20" s="37">
        <f>12009+2</f>
        <v>12011</v>
      </c>
    </row>
    <row r="21" spans="1:21" s="24" customFormat="1" ht="15" customHeight="1">
      <c r="A21" s="9" t="s">
        <v>48</v>
      </c>
      <c r="B21" s="23"/>
      <c r="C21" s="34">
        <f>+D21+E21</f>
        <v>1353</v>
      </c>
      <c r="D21" s="82">
        <v>490</v>
      </c>
      <c r="E21" s="82">
        <v>863</v>
      </c>
      <c r="G21" s="34">
        <f>+H21+I21</f>
        <v>2465</v>
      </c>
      <c r="H21" s="28">
        <v>1219</v>
      </c>
      <c r="I21" s="28">
        <v>1246</v>
      </c>
      <c r="K21" s="34">
        <f>+L21+M21</f>
        <v>3152</v>
      </c>
      <c r="L21" s="28">
        <v>622</v>
      </c>
      <c r="M21" s="28">
        <f>2530</f>
        <v>2530</v>
      </c>
      <c r="O21" s="34">
        <f>+P21+Q21</f>
        <v>2182</v>
      </c>
      <c r="P21" s="37">
        <v>774</v>
      </c>
      <c r="Q21" s="37">
        <f>1408+0</f>
        <v>1408</v>
      </c>
      <c r="S21" s="34">
        <f>+T21+U21</f>
        <v>1735</v>
      </c>
      <c r="T21" s="37">
        <v>488</v>
      </c>
      <c r="U21" s="37">
        <v>1247</v>
      </c>
    </row>
    <row r="22" spans="1:21" s="24" customFormat="1" ht="15" customHeight="1">
      <c r="A22" s="9" t="s">
        <v>49</v>
      </c>
      <c r="B22" s="23"/>
      <c r="C22" s="34">
        <f>+D22+E22</f>
        <v>4198</v>
      </c>
      <c r="D22" s="82">
        <v>2854</v>
      </c>
      <c r="E22" s="82">
        <v>1344</v>
      </c>
      <c r="G22" s="34">
        <f>+H22+I22</f>
        <v>5366</v>
      </c>
      <c r="H22" s="28">
        <v>2900</v>
      </c>
      <c r="I22" s="28">
        <v>2466</v>
      </c>
      <c r="K22" s="34">
        <f>+L22+M22</f>
        <v>5823</v>
      </c>
      <c r="L22" s="28">
        <v>2934</v>
      </c>
      <c r="M22" s="28">
        <f>2888+1</f>
        <v>2889</v>
      </c>
      <c r="O22" s="34">
        <f>+P22+Q22</f>
        <v>3147</v>
      </c>
      <c r="P22" s="37">
        <v>2077</v>
      </c>
      <c r="Q22" s="37">
        <f>1070+0</f>
        <v>1070</v>
      </c>
      <c r="S22" s="34">
        <f>+T22+U22</f>
        <v>1307</v>
      </c>
      <c r="T22" s="37">
        <v>289</v>
      </c>
      <c r="U22" s="37">
        <f>1015+3</f>
        <v>1018</v>
      </c>
    </row>
    <row r="23" spans="1:5" s="24" customFormat="1" ht="15" customHeight="1">
      <c r="A23" s="10"/>
      <c r="C23" s="19"/>
      <c r="D23" s="19"/>
      <c r="E23" s="19"/>
    </row>
    <row r="24" spans="1:21" ht="18" customHeight="1">
      <c r="A24" s="7" t="s">
        <v>44</v>
      </c>
      <c r="C24" s="32">
        <f>C26+C35+C44</f>
        <v>914692</v>
      </c>
      <c r="D24" s="32">
        <f>D26+D35+D44</f>
        <v>644371</v>
      </c>
      <c r="E24" s="32">
        <f>E26+E35+E44</f>
        <v>270321</v>
      </c>
      <c r="G24" s="32">
        <f>G26+G35+G44</f>
        <v>652463</v>
      </c>
      <c r="H24" s="32">
        <f>H26+H35+H44</f>
        <v>412272</v>
      </c>
      <c r="I24" s="32">
        <f>I26+I35+I44</f>
        <v>240191</v>
      </c>
      <c r="K24" s="32">
        <f>K26+K35+K44</f>
        <v>639524</v>
      </c>
      <c r="L24" s="32">
        <f>L26+L35+L44</f>
        <v>405382</v>
      </c>
      <c r="M24" s="32">
        <f>M26+M35+M44</f>
        <v>234142</v>
      </c>
      <c r="O24" s="32">
        <f>O26+O35+O44</f>
        <v>578961</v>
      </c>
      <c r="P24" s="32">
        <f>P26+P35+P44</f>
        <v>356086</v>
      </c>
      <c r="Q24" s="32">
        <f>Q26+Q35+Q44</f>
        <v>222875</v>
      </c>
      <c r="S24" s="32">
        <f>S26+S35+S44</f>
        <v>502979</v>
      </c>
      <c r="T24" s="32">
        <f>T26+T35+T44</f>
        <v>293130</v>
      </c>
      <c r="U24" s="32">
        <f>U26+U35+U44</f>
        <v>209849</v>
      </c>
    </row>
    <row r="25" spans="1:21" ht="15" customHeight="1">
      <c r="A25" s="11"/>
      <c r="C25" s="48"/>
      <c r="D25" s="19"/>
      <c r="E25" s="48"/>
      <c r="O25" s="28"/>
      <c r="P25" s="28"/>
      <c r="Q25" s="28"/>
      <c r="S25" s="28"/>
      <c r="T25" s="28"/>
      <c r="U25" s="28"/>
    </row>
    <row r="26" spans="1:21" ht="18" customHeight="1">
      <c r="A26" s="7" t="s">
        <v>69</v>
      </c>
      <c r="C26" s="32">
        <f>SUM(C27:C33)</f>
        <v>749725</v>
      </c>
      <c r="D26" s="32">
        <f>SUM(D27:D33)</f>
        <v>566741</v>
      </c>
      <c r="E26" s="32">
        <f>SUM(E27:E33)</f>
        <v>182984</v>
      </c>
      <c r="G26" s="32">
        <f>SUM(G27:G33)</f>
        <v>487176</v>
      </c>
      <c r="H26" s="32">
        <f>SUM(H27:H33)</f>
        <v>333085</v>
      </c>
      <c r="I26" s="32">
        <f>SUM(I27:I33)</f>
        <v>154091</v>
      </c>
      <c r="K26" s="32">
        <f>SUM(K27:K33)</f>
        <v>463708</v>
      </c>
      <c r="L26" s="32">
        <f>SUM(L27:L33)</f>
        <v>314737</v>
      </c>
      <c r="M26" s="32">
        <f>SUM(M27:M33)</f>
        <v>148971</v>
      </c>
      <c r="O26" s="32">
        <f>SUM(O27:O33)</f>
        <v>392722</v>
      </c>
      <c r="P26" s="32">
        <f>SUM(P27:P33)</f>
        <v>260273</v>
      </c>
      <c r="Q26" s="32">
        <f>SUM(Q27:Q33)</f>
        <v>132449</v>
      </c>
      <c r="S26" s="32">
        <f>SUM(S27:S33)</f>
        <v>333984</v>
      </c>
      <c r="T26" s="32">
        <f>SUM(T27:T33)</f>
        <v>206579</v>
      </c>
      <c r="U26" s="32">
        <f>SUM(U27:U33)</f>
        <v>127405</v>
      </c>
    </row>
    <row r="27" spans="1:21" s="28" customFormat="1" ht="15" customHeight="1">
      <c r="A27" s="9" t="s">
        <v>4</v>
      </c>
      <c r="B27" s="25"/>
      <c r="C27" s="34">
        <f aca="true" t="shared" si="0" ref="C27:C33">+D27+E27</f>
        <v>683644</v>
      </c>
      <c r="D27" s="82">
        <v>529860</v>
      </c>
      <c r="E27" s="82">
        <v>153784</v>
      </c>
      <c r="G27" s="34">
        <f aca="true" t="shared" si="1" ref="G27:G33">+H27+I27</f>
        <v>421737</v>
      </c>
      <c r="H27" s="28">
        <v>294677</v>
      </c>
      <c r="I27" s="28">
        <f>127046+14</f>
        <v>127060</v>
      </c>
      <c r="K27" s="34">
        <f aca="true" t="shared" si="2" ref="K27:K33">+L27+M27</f>
        <v>386088</v>
      </c>
      <c r="L27" s="28">
        <v>266857</v>
      </c>
      <c r="M27" s="28">
        <f>119222+9</f>
        <v>119231</v>
      </c>
      <c r="O27" s="34">
        <f aca="true" t="shared" si="3" ref="O27:O33">+P27+Q27</f>
        <v>320637</v>
      </c>
      <c r="P27" s="37">
        <v>215849</v>
      </c>
      <c r="Q27" s="37">
        <f>104772+16</f>
        <v>104788</v>
      </c>
      <c r="S27" s="34">
        <f aca="true" t="shared" si="4" ref="S27:S33">+T27+U27</f>
        <v>272253</v>
      </c>
      <c r="T27" s="37">
        <v>171530</v>
      </c>
      <c r="U27" s="37">
        <f>100721+2</f>
        <v>100723</v>
      </c>
    </row>
    <row r="28" spans="1:21" s="24" customFormat="1" ht="15" customHeight="1">
      <c r="A28" s="12" t="s">
        <v>0</v>
      </c>
      <c r="B28" s="23"/>
      <c r="C28" s="34">
        <f t="shared" si="0"/>
        <v>23800</v>
      </c>
      <c r="D28" s="82">
        <v>18149</v>
      </c>
      <c r="E28" s="82">
        <v>5651</v>
      </c>
      <c r="G28" s="34">
        <f t="shared" si="1"/>
        <v>24455</v>
      </c>
      <c r="H28" s="28">
        <v>19170</v>
      </c>
      <c r="I28" s="28">
        <f>5237+48</f>
        <v>5285</v>
      </c>
      <c r="K28" s="34">
        <f t="shared" si="2"/>
        <v>25688</v>
      </c>
      <c r="L28" s="28">
        <v>20206</v>
      </c>
      <c r="M28" s="28">
        <f>5471+11</f>
        <v>5482</v>
      </c>
      <c r="O28" s="34">
        <f t="shared" si="3"/>
        <v>24241</v>
      </c>
      <c r="P28" s="37">
        <v>18782</v>
      </c>
      <c r="Q28" s="37">
        <f>5439+20</f>
        <v>5459</v>
      </c>
      <c r="S28" s="34">
        <f t="shared" si="4"/>
        <v>19346</v>
      </c>
      <c r="T28" s="37">
        <v>13264</v>
      </c>
      <c r="U28" s="37">
        <f>6078+4</f>
        <v>6082</v>
      </c>
    </row>
    <row r="29" spans="1:21" s="24" customFormat="1" ht="15" customHeight="1">
      <c r="A29" s="12" t="s">
        <v>9</v>
      </c>
      <c r="B29" s="23"/>
      <c r="C29" s="34">
        <f t="shared" si="0"/>
        <v>535</v>
      </c>
      <c r="D29" s="82">
        <v>34</v>
      </c>
      <c r="E29" s="82">
        <v>501</v>
      </c>
      <c r="G29" s="34">
        <f t="shared" si="1"/>
        <v>334</v>
      </c>
      <c r="H29" s="28">
        <v>3</v>
      </c>
      <c r="I29" s="28">
        <v>331</v>
      </c>
      <c r="K29" s="34">
        <f t="shared" si="2"/>
        <v>439</v>
      </c>
      <c r="L29" s="28">
        <v>201</v>
      </c>
      <c r="M29" s="28">
        <f>238</f>
        <v>238</v>
      </c>
      <c r="O29" s="34">
        <f t="shared" si="3"/>
        <v>300</v>
      </c>
      <c r="P29" s="37">
        <v>123</v>
      </c>
      <c r="Q29" s="37">
        <f>177+0</f>
        <v>177</v>
      </c>
      <c r="S29" s="34">
        <f t="shared" si="4"/>
        <v>147</v>
      </c>
      <c r="T29" s="37">
        <v>147</v>
      </c>
      <c r="U29" s="35">
        <v>0</v>
      </c>
    </row>
    <row r="30" spans="1:21" s="24" customFormat="1" ht="15" customHeight="1">
      <c r="A30" s="12" t="s">
        <v>2</v>
      </c>
      <c r="B30" s="23"/>
      <c r="C30" s="34">
        <f t="shared" si="0"/>
        <v>30038</v>
      </c>
      <c r="D30" s="82">
        <v>14092</v>
      </c>
      <c r="E30" s="82">
        <v>15946</v>
      </c>
      <c r="G30" s="34">
        <f t="shared" si="1"/>
        <v>30713</v>
      </c>
      <c r="H30" s="28">
        <v>16185</v>
      </c>
      <c r="I30" s="28">
        <f>14491+37</f>
        <v>14528</v>
      </c>
      <c r="K30" s="34">
        <f t="shared" si="2"/>
        <v>37968</v>
      </c>
      <c r="L30" s="28">
        <v>23677</v>
      </c>
      <c r="M30" s="28">
        <f>14289+2</f>
        <v>14291</v>
      </c>
      <c r="O30" s="34">
        <f t="shared" si="3"/>
        <v>32538</v>
      </c>
      <c r="P30" s="37">
        <v>21234</v>
      </c>
      <c r="Q30" s="37">
        <f>11303+1</f>
        <v>11304</v>
      </c>
      <c r="S30" s="34">
        <f t="shared" si="4"/>
        <v>28698</v>
      </c>
      <c r="T30" s="37">
        <v>18823</v>
      </c>
      <c r="U30" s="37">
        <f>9874+1</f>
        <v>9875</v>
      </c>
    </row>
    <row r="31" spans="1:21" s="24" customFormat="1" ht="15" customHeight="1">
      <c r="A31" s="12" t="s">
        <v>3</v>
      </c>
      <c r="B31" s="23"/>
      <c r="C31" s="34">
        <f t="shared" si="0"/>
        <v>1291</v>
      </c>
      <c r="D31" s="82">
        <v>702</v>
      </c>
      <c r="E31" s="82">
        <v>589</v>
      </c>
      <c r="G31" s="34">
        <f t="shared" si="1"/>
        <v>1070</v>
      </c>
      <c r="H31" s="28">
        <v>429</v>
      </c>
      <c r="I31" s="28">
        <v>641</v>
      </c>
      <c r="K31" s="34">
        <f t="shared" si="2"/>
        <v>1556</v>
      </c>
      <c r="L31" s="28">
        <v>954</v>
      </c>
      <c r="M31" s="28">
        <f>602</f>
        <v>602</v>
      </c>
      <c r="O31" s="34">
        <f t="shared" si="3"/>
        <v>2266</v>
      </c>
      <c r="P31" s="37">
        <v>1783</v>
      </c>
      <c r="Q31" s="37">
        <f>483+0</f>
        <v>483</v>
      </c>
      <c r="S31" s="34">
        <f t="shared" si="4"/>
        <v>1205</v>
      </c>
      <c r="T31" s="37">
        <v>875</v>
      </c>
      <c r="U31" s="37">
        <v>330</v>
      </c>
    </row>
    <row r="32" spans="1:21" s="24" customFormat="1" ht="15" customHeight="1">
      <c r="A32" s="12" t="s">
        <v>70</v>
      </c>
      <c r="B32" s="23"/>
      <c r="C32" s="34">
        <f t="shared" si="0"/>
        <v>10417</v>
      </c>
      <c r="D32" s="82">
        <v>3904</v>
      </c>
      <c r="E32" s="82">
        <v>6513</v>
      </c>
      <c r="G32" s="34">
        <f t="shared" si="1"/>
        <v>8867</v>
      </c>
      <c r="H32" s="28">
        <v>2621</v>
      </c>
      <c r="I32" s="28">
        <v>6246</v>
      </c>
      <c r="K32" s="34">
        <f t="shared" si="2"/>
        <v>11969</v>
      </c>
      <c r="L32" s="28">
        <v>2842</v>
      </c>
      <c r="M32" s="28">
        <f>9127</f>
        <v>9127</v>
      </c>
      <c r="O32" s="34">
        <f t="shared" si="3"/>
        <v>12740</v>
      </c>
      <c r="P32" s="37">
        <v>2502</v>
      </c>
      <c r="Q32" s="37">
        <f>10238+0</f>
        <v>10238</v>
      </c>
      <c r="S32" s="34">
        <f t="shared" si="4"/>
        <v>12335</v>
      </c>
      <c r="T32" s="37">
        <v>1940</v>
      </c>
      <c r="U32" s="37">
        <v>10395</v>
      </c>
    </row>
    <row r="33" spans="1:21" s="24" customFormat="1" ht="15" customHeight="1">
      <c r="A33" s="12" t="s">
        <v>19</v>
      </c>
      <c r="B33" s="23"/>
      <c r="C33" s="34">
        <f t="shared" si="0"/>
        <v>0</v>
      </c>
      <c r="D33" s="82">
        <f>0+0</f>
        <v>0</v>
      </c>
      <c r="E33" s="82">
        <f>0+0</f>
        <v>0</v>
      </c>
      <c r="G33" s="34">
        <f t="shared" si="1"/>
        <v>0</v>
      </c>
      <c r="H33" s="35">
        <v>0</v>
      </c>
      <c r="I33" s="35">
        <v>0</v>
      </c>
      <c r="K33" s="34">
        <f t="shared" si="2"/>
        <v>0</v>
      </c>
      <c r="L33" s="35">
        <v>0</v>
      </c>
      <c r="M33" s="35">
        <v>0</v>
      </c>
      <c r="O33" s="34">
        <f t="shared" si="3"/>
        <v>0</v>
      </c>
      <c r="P33" s="35">
        <v>0</v>
      </c>
      <c r="Q33" s="35">
        <v>0</v>
      </c>
      <c r="S33" s="34">
        <f t="shared" si="4"/>
        <v>0</v>
      </c>
      <c r="T33" s="35">
        <v>0</v>
      </c>
      <c r="U33" s="35">
        <v>0</v>
      </c>
    </row>
    <row r="34" spans="1:5" s="26" customFormat="1" ht="15" customHeight="1">
      <c r="A34" s="13"/>
      <c r="C34" s="47"/>
      <c r="D34" s="19"/>
      <c r="E34" s="47"/>
    </row>
    <row r="35" spans="1:21" ht="18" customHeight="1">
      <c r="A35" s="7" t="s">
        <v>45</v>
      </c>
      <c r="C35" s="32">
        <f>SUM(C36:C42)</f>
        <v>59793</v>
      </c>
      <c r="D35" s="32">
        <f>SUM(D36:D42)</f>
        <v>16317</v>
      </c>
      <c r="E35" s="32">
        <f>SUM(E36:E42)</f>
        <v>43476</v>
      </c>
      <c r="G35" s="32">
        <f>SUM(G36:G42)</f>
        <v>57160</v>
      </c>
      <c r="H35" s="32">
        <f>SUM(H36:H42)</f>
        <v>16962</v>
      </c>
      <c r="I35" s="32">
        <f>SUM(I36:I42)</f>
        <v>40198</v>
      </c>
      <c r="K35" s="32">
        <f>SUM(K36:K42)</f>
        <v>63666</v>
      </c>
      <c r="L35" s="32">
        <f>SUM(L36:L42)</f>
        <v>24473</v>
      </c>
      <c r="M35" s="32">
        <f>SUM(M36:M42)</f>
        <v>39193</v>
      </c>
      <c r="O35" s="32">
        <f>SUM(O36:O42)</f>
        <v>66201</v>
      </c>
      <c r="P35" s="32">
        <f>SUM(P36:P42)</f>
        <v>24830</v>
      </c>
      <c r="Q35" s="32">
        <f>SUM(Q36:Q42)</f>
        <v>41371</v>
      </c>
      <c r="S35" s="32">
        <f>SUM(S36:S42)</f>
        <v>65692</v>
      </c>
      <c r="T35" s="32">
        <f>SUM(T36:T42)</f>
        <v>30600</v>
      </c>
      <c r="U35" s="32">
        <f>SUM(U36:U42)</f>
        <v>35092</v>
      </c>
    </row>
    <row r="36" spans="1:21" s="28" customFormat="1" ht="15" customHeight="1">
      <c r="A36" s="9" t="s">
        <v>4</v>
      </c>
      <c r="B36" s="25"/>
      <c r="C36" s="34">
        <f aca="true" t="shared" si="5" ref="C36:C42">+D36+E36</f>
        <v>24472</v>
      </c>
      <c r="D36" s="82">
        <v>6081</v>
      </c>
      <c r="E36" s="82">
        <v>18391</v>
      </c>
      <c r="G36" s="34">
        <f aca="true" t="shared" si="6" ref="G36:G42">+H36+I36</f>
        <v>20651</v>
      </c>
      <c r="H36" s="28">
        <v>5483</v>
      </c>
      <c r="I36" s="28">
        <v>15168</v>
      </c>
      <c r="K36" s="34">
        <f aca="true" t="shared" si="7" ref="K36:K42">+L36+M36</f>
        <v>29645</v>
      </c>
      <c r="L36" s="28">
        <v>10020</v>
      </c>
      <c r="M36" s="28">
        <f>19625</f>
        <v>19625</v>
      </c>
      <c r="O36" s="34">
        <f aca="true" t="shared" si="8" ref="O36:O42">+P36+Q36</f>
        <v>32927</v>
      </c>
      <c r="P36" s="37">
        <v>12102</v>
      </c>
      <c r="Q36" s="37">
        <f>20825+0</f>
        <v>20825</v>
      </c>
      <c r="S36" s="34">
        <f aca="true" t="shared" si="9" ref="S36:S42">+T36+U36</f>
        <v>35797</v>
      </c>
      <c r="T36" s="37">
        <v>16789</v>
      </c>
      <c r="U36" s="37">
        <v>19008</v>
      </c>
    </row>
    <row r="37" spans="1:21" s="24" customFormat="1" ht="15" customHeight="1">
      <c r="A37" s="12" t="s">
        <v>0</v>
      </c>
      <c r="B37" s="23"/>
      <c r="C37" s="34">
        <f t="shared" si="5"/>
        <v>479</v>
      </c>
      <c r="D37" s="82">
        <v>61</v>
      </c>
      <c r="E37" s="82">
        <v>418</v>
      </c>
      <c r="G37" s="34">
        <f t="shared" si="6"/>
        <v>595</v>
      </c>
      <c r="H37" s="28">
        <v>185</v>
      </c>
      <c r="I37" s="28">
        <v>410</v>
      </c>
      <c r="K37" s="34">
        <f t="shared" si="7"/>
        <v>1122</v>
      </c>
      <c r="L37" s="28">
        <v>93</v>
      </c>
      <c r="M37" s="28">
        <f>1029</f>
        <v>1029</v>
      </c>
      <c r="O37" s="34">
        <f t="shared" si="8"/>
        <v>340</v>
      </c>
      <c r="P37" s="37">
        <v>98</v>
      </c>
      <c r="Q37" s="37">
        <f>242+0</f>
        <v>242</v>
      </c>
      <c r="S37" s="34">
        <f t="shared" si="9"/>
        <v>504</v>
      </c>
      <c r="T37" s="37">
        <v>187</v>
      </c>
      <c r="U37" s="37">
        <v>317</v>
      </c>
    </row>
    <row r="38" spans="1:21" s="24" customFormat="1" ht="15" customHeight="1">
      <c r="A38" s="12" t="s">
        <v>9</v>
      </c>
      <c r="B38" s="23"/>
      <c r="C38" s="34">
        <f t="shared" si="5"/>
        <v>22</v>
      </c>
      <c r="D38" s="82">
        <v>0</v>
      </c>
      <c r="E38" s="82">
        <v>22</v>
      </c>
      <c r="G38" s="34">
        <f t="shared" si="6"/>
        <v>10</v>
      </c>
      <c r="H38" s="28">
        <v>1</v>
      </c>
      <c r="I38" s="28">
        <v>9</v>
      </c>
      <c r="K38" s="34">
        <f t="shared" si="7"/>
        <v>44</v>
      </c>
      <c r="L38" s="28">
        <v>32</v>
      </c>
      <c r="M38" s="28">
        <f>12</f>
        <v>12</v>
      </c>
      <c r="O38" s="34">
        <f t="shared" si="8"/>
        <v>65</v>
      </c>
      <c r="P38" s="37">
        <v>23</v>
      </c>
      <c r="Q38" s="37">
        <f>42+0</f>
        <v>42</v>
      </c>
      <c r="S38" s="34">
        <f t="shared" si="9"/>
        <v>84</v>
      </c>
      <c r="T38" s="37">
        <v>1</v>
      </c>
      <c r="U38" s="37">
        <v>83</v>
      </c>
    </row>
    <row r="39" spans="1:21" s="24" customFormat="1" ht="15" customHeight="1">
      <c r="A39" s="12" t="s">
        <v>2</v>
      </c>
      <c r="B39" s="23"/>
      <c r="C39" s="34">
        <f t="shared" si="5"/>
        <v>32066</v>
      </c>
      <c r="D39" s="82">
        <v>9906</v>
      </c>
      <c r="E39" s="82">
        <v>22160</v>
      </c>
      <c r="G39" s="34">
        <f t="shared" si="6"/>
        <v>33118</v>
      </c>
      <c r="H39" s="28">
        <v>11084</v>
      </c>
      <c r="I39" s="28">
        <v>22034</v>
      </c>
      <c r="K39" s="34">
        <f t="shared" si="7"/>
        <v>29260</v>
      </c>
      <c r="L39" s="28">
        <v>13918</v>
      </c>
      <c r="M39" s="28">
        <f>15342</f>
        <v>15342</v>
      </c>
      <c r="O39" s="34">
        <f t="shared" si="8"/>
        <v>28297</v>
      </c>
      <c r="P39" s="37">
        <v>12132</v>
      </c>
      <c r="Q39" s="37">
        <f>16165+0</f>
        <v>16165</v>
      </c>
      <c r="S39" s="34">
        <f t="shared" si="9"/>
        <v>22747</v>
      </c>
      <c r="T39" s="37">
        <v>13276</v>
      </c>
      <c r="U39" s="37">
        <v>9471</v>
      </c>
    </row>
    <row r="40" spans="1:21" s="24" customFormat="1" ht="15" customHeight="1">
      <c r="A40" s="12" t="s">
        <v>3</v>
      </c>
      <c r="B40" s="23"/>
      <c r="C40" s="34">
        <f t="shared" si="5"/>
        <v>35</v>
      </c>
      <c r="D40" s="82">
        <v>0</v>
      </c>
      <c r="E40" s="82">
        <v>35</v>
      </c>
      <c r="G40" s="34">
        <f t="shared" si="6"/>
        <v>32</v>
      </c>
      <c r="H40" s="28">
        <v>0</v>
      </c>
      <c r="I40" s="28">
        <v>32</v>
      </c>
      <c r="K40" s="34">
        <f t="shared" si="7"/>
        <v>221</v>
      </c>
      <c r="L40" s="28">
        <v>184</v>
      </c>
      <c r="M40" s="28">
        <f>37</f>
        <v>37</v>
      </c>
      <c r="O40" s="34">
        <f t="shared" si="8"/>
        <v>589</v>
      </c>
      <c r="P40" s="37">
        <v>363</v>
      </c>
      <c r="Q40" s="37">
        <f>226+0</f>
        <v>226</v>
      </c>
      <c r="S40" s="34">
        <f t="shared" si="9"/>
        <v>1919</v>
      </c>
      <c r="T40" s="37">
        <v>322</v>
      </c>
      <c r="U40" s="37">
        <v>1597</v>
      </c>
    </row>
    <row r="41" spans="1:21" s="24" customFormat="1" ht="15" customHeight="1">
      <c r="A41" s="12" t="s">
        <v>1</v>
      </c>
      <c r="B41" s="23"/>
      <c r="C41" s="34">
        <f t="shared" si="5"/>
        <v>474</v>
      </c>
      <c r="D41" s="82">
        <v>269</v>
      </c>
      <c r="E41" s="82">
        <v>205</v>
      </c>
      <c r="G41" s="34">
        <f t="shared" si="6"/>
        <v>346</v>
      </c>
      <c r="H41" s="28">
        <v>209</v>
      </c>
      <c r="I41" s="28">
        <v>137</v>
      </c>
      <c r="K41" s="34">
        <f t="shared" si="7"/>
        <v>429</v>
      </c>
      <c r="L41" s="28">
        <v>183</v>
      </c>
      <c r="M41" s="28">
        <f>246</f>
        <v>246</v>
      </c>
      <c r="O41" s="34">
        <f t="shared" si="8"/>
        <v>646</v>
      </c>
      <c r="P41" s="37">
        <v>111</v>
      </c>
      <c r="Q41" s="37">
        <f>535+0</f>
        <v>535</v>
      </c>
      <c r="S41" s="34">
        <f t="shared" si="9"/>
        <v>1424</v>
      </c>
      <c r="T41" s="37">
        <v>24</v>
      </c>
      <c r="U41" s="37">
        <v>1400</v>
      </c>
    </row>
    <row r="42" spans="1:21" s="24" customFormat="1" ht="15" customHeight="1">
      <c r="A42" s="12" t="s">
        <v>19</v>
      </c>
      <c r="B42" s="23"/>
      <c r="C42" s="34">
        <f t="shared" si="5"/>
        <v>2245</v>
      </c>
      <c r="D42" s="82">
        <f>0+0</f>
        <v>0</v>
      </c>
      <c r="E42" s="82">
        <f>2245+0</f>
        <v>2245</v>
      </c>
      <c r="G42" s="34">
        <f t="shared" si="6"/>
        <v>2408</v>
      </c>
      <c r="H42" s="28">
        <v>0</v>
      </c>
      <c r="I42" s="28">
        <v>2408</v>
      </c>
      <c r="K42" s="34">
        <f t="shared" si="7"/>
        <v>2945</v>
      </c>
      <c r="L42" s="28">
        <f>42+1</f>
        <v>43</v>
      </c>
      <c r="M42" s="28">
        <f>2902</f>
        <v>2902</v>
      </c>
      <c r="O42" s="34">
        <f t="shared" si="8"/>
        <v>3337</v>
      </c>
      <c r="P42" s="37">
        <v>1</v>
      </c>
      <c r="Q42" s="37">
        <f>3336+0</f>
        <v>3336</v>
      </c>
      <c r="S42" s="34">
        <f t="shared" si="9"/>
        <v>3217</v>
      </c>
      <c r="T42" s="37">
        <v>1</v>
      </c>
      <c r="U42" s="37">
        <f>283+2933</f>
        <v>3216</v>
      </c>
    </row>
    <row r="43" spans="1:5" s="26" customFormat="1" ht="15" customHeight="1">
      <c r="A43" s="13"/>
      <c r="C43" s="51"/>
      <c r="D43" s="19"/>
      <c r="E43" s="47"/>
    </row>
    <row r="44" spans="1:21" ht="18" customHeight="1">
      <c r="A44" s="7" t="s">
        <v>46</v>
      </c>
      <c r="C44" s="32">
        <f>SUM(C45:C51)</f>
        <v>105174</v>
      </c>
      <c r="D44" s="32">
        <f>SUM(D45:D51)</f>
        <v>61313</v>
      </c>
      <c r="E44" s="32">
        <f>SUM(E45:E51)</f>
        <v>43861</v>
      </c>
      <c r="G44" s="32">
        <f>SUM(G45:G51)</f>
        <v>108127</v>
      </c>
      <c r="H44" s="32">
        <f>SUM(H45:H51)</f>
        <v>62225</v>
      </c>
      <c r="I44" s="32">
        <f>SUM(I45:I51)</f>
        <v>45902</v>
      </c>
      <c r="K44" s="32">
        <f>SUM(K45:K51)</f>
        <v>112150</v>
      </c>
      <c r="L44" s="32">
        <f>SUM(L45:L51)</f>
        <v>66172</v>
      </c>
      <c r="M44" s="32">
        <f>SUM(M45:M51)</f>
        <v>45978</v>
      </c>
      <c r="O44" s="32">
        <f>SUM(O45:O51)</f>
        <v>120038</v>
      </c>
      <c r="P44" s="32">
        <f>SUM(P45:P51)</f>
        <v>70983</v>
      </c>
      <c r="Q44" s="32">
        <f>SUM(Q45:Q51)</f>
        <v>49055</v>
      </c>
      <c r="S44" s="32">
        <f>SUM(S45:S51)</f>
        <v>103303</v>
      </c>
      <c r="T44" s="32">
        <f>SUM(T45:T51)</f>
        <v>55951</v>
      </c>
      <c r="U44" s="32">
        <f>SUM(U45:U51)</f>
        <v>47352</v>
      </c>
    </row>
    <row r="45" spans="1:21" s="28" customFormat="1" ht="15" customHeight="1">
      <c r="A45" s="9" t="s">
        <v>4</v>
      </c>
      <c r="B45" s="21"/>
      <c r="C45" s="34">
        <f aca="true" t="shared" si="10" ref="C45:C51">+D45+E45</f>
        <v>87630</v>
      </c>
      <c r="D45" s="82">
        <v>46635</v>
      </c>
      <c r="E45" s="82">
        <v>40995</v>
      </c>
      <c r="G45" s="34">
        <f aca="true" t="shared" si="11" ref="G45:G51">+H45+I45</f>
        <v>96092</v>
      </c>
      <c r="H45" s="28">
        <v>50974</v>
      </c>
      <c r="I45" s="28">
        <v>45118</v>
      </c>
      <c r="K45" s="34">
        <f aca="true" t="shared" si="12" ref="K45:K51">+L45+M45</f>
        <v>96711</v>
      </c>
      <c r="L45" s="28">
        <v>54032</v>
      </c>
      <c r="M45" s="28">
        <f>42679</f>
        <v>42679</v>
      </c>
      <c r="O45" s="34">
        <f aca="true" t="shared" si="13" ref="O45:O51">+P45+Q45</f>
        <v>101177</v>
      </c>
      <c r="P45" s="37">
        <v>54283</v>
      </c>
      <c r="Q45" s="37">
        <f>46894+0</f>
        <v>46894</v>
      </c>
      <c r="S45" s="34">
        <f aca="true" t="shared" si="14" ref="S45:S51">+T45+U45</f>
        <v>89975</v>
      </c>
      <c r="T45" s="37">
        <v>43975</v>
      </c>
      <c r="U45" s="37">
        <f>45941+59</f>
        <v>46000</v>
      </c>
    </row>
    <row r="46" spans="1:21" s="24" customFormat="1" ht="15" customHeight="1">
      <c r="A46" s="12" t="s">
        <v>0</v>
      </c>
      <c r="B46" s="21"/>
      <c r="C46" s="34">
        <f t="shared" si="10"/>
        <v>10977</v>
      </c>
      <c r="D46" s="82">
        <v>10697</v>
      </c>
      <c r="E46" s="82">
        <v>280</v>
      </c>
      <c r="G46" s="34">
        <f t="shared" si="11"/>
        <v>10770</v>
      </c>
      <c r="H46" s="28">
        <v>10600</v>
      </c>
      <c r="I46" s="28">
        <v>170</v>
      </c>
      <c r="K46" s="34">
        <f t="shared" si="12"/>
        <v>11238</v>
      </c>
      <c r="L46" s="28">
        <v>11058</v>
      </c>
      <c r="M46" s="28">
        <f>180</f>
        <v>180</v>
      </c>
      <c r="O46" s="34">
        <f t="shared" si="13"/>
        <v>13108</v>
      </c>
      <c r="P46" s="37">
        <v>12856</v>
      </c>
      <c r="Q46" s="37">
        <f>252+0</f>
        <v>252</v>
      </c>
      <c r="S46" s="34">
        <f t="shared" si="14"/>
        <v>11178</v>
      </c>
      <c r="T46" s="37">
        <v>10990</v>
      </c>
      <c r="U46" s="37">
        <v>188</v>
      </c>
    </row>
    <row r="47" spans="1:21" s="24" customFormat="1" ht="15" customHeight="1">
      <c r="A47" s="12" t="s">
        <v>9</v>
      </c>
      <c r="B47" s="21"/>
      <c r="C47" s="34">
        <f t="shared" si="10"/>
        <v>6</v>
      </c>
      <c r="D47" s="82">
        <v>4</v>
      </c>
      <c r="E47" s="82">
        <v>2</v>
      </c>
      <c r="G47" s="34">
        <f t="shared" si="11"/>
        <v>12</v>
      </c>
      <c r="H47" s="28">
        <v>10</v>
      </c>
      <c r="I47" s="28">
        <v>2</v>
      </c>
      <c r="K47" s="34">
        <f t="shared" si="12"/>
        <v>12</v>
      </c>
      <c r="L47" s="28">
        <v>12</v>
      </c>
      <c r="M47" s="28">
        <f>0</f>
        <v>0</v>
      </c>
      <c r="O47" s="34">
        <f t="shared" si="13"/>
        <v>0</v>
      </c>
      <c r="P47" s="28">
        <v>0</v>
      </c>
      <c r="Q47" s="28">
        <v>0</v>
      </c>
      <c r="S47" s="34">
        <f t="shared" si="14"/>
        <v>1</v>
      </c>
      <c r="T47" s="28">
        <v>0</v>
      </c>
      <c r="U47" s="37">
        <v>1</v>
      </c>
    </row>
    <row r="48" spans="1:21" s="24" customFormat="1" ht="15" customHeight="1">
      <c r="A48" s="12" t="s">
        <v>2</v>
      </c>
      <c r="B48" s="21"/>
      <c r="C48" s="34">
        <f t="shared" si="10"/>
        <v>6262</v>
      </c>
      <c r="D48" s="82">
        <v>3710</v>
      </c>
      <c r="E48" s="82">
        <v>2552</v>
      </c>
      <c r="G48" s="34">
        <f t="shared" si="11"/>
        <v>966</v>
      </c>
      <c r="H48" s="28">
        <v>474</v>
      </c>
      <c r="I48" s="28">
        <v>492</v>
      </c>
      <c r="K48" s="34">
        <f t="shared" si="12"/>
        <v>3956</v>
      </c>
      <c r="L48" s="28">
        <v>1006</v>
      </c>
      <c r="M48" s="28">
        <f>1225+1725</f>
        <v>2950</v>
      </c>
      <c r="O48" s="34">
        <f t="shared" si="13"/>
        <v>5453</v>
      </c>
      <c r="P48" s="37">
        <v>3789</v>
      </c>
      <c r="Q48" s="37">
        <f>1664+0</f>
        <v>1664</v>
      </c>
      <c r="S48" s="34">
        <f t="shared" si="14"/>
        <v>1537</v>
      </c>
      <c r="T48" s="37">
        <v>781</v>
      </c>
      <c r="U48" s="37">
        <v>756</v>
      </c>
    </row>
    <row r="49" spans="1:21" s="24" customFormat="1" ht="15" customHeight="1">
      <c r="A49" s="12" t="s">
        <v>3</v>
      </c>
      <c r="B49" s="21"/>
      <c r="C49" s="34">
        <f t="shared" si="10"/>
        <v>11</v>
      </c>
      <c r="D49" s="82">
        <v>7</v>
      </c>
      <c r="E49" s="82">
        <v>4</v>
      </c>
      <c r="G49" s="34">
        <f t="shared" si="11"/>
        <v>22</v>
      </c>
      <c r="H49" s="28">
        <v>15</v>
      </c>
      <c r="I49" s="28">
        <v>7</v>
      </c>
      <c r="K49" s="34">
        <f t="shared" si="12"/>
        <v>5</v>
      </c>
      <c r="L49" s="28">
        <v>5</v>
      </c>
      <c r="M49" s="28">
        <f>0</f>
        <v>0</v>
      </c>
      <c r="O49" s="34">
        <f t="shared" si="13"/>
        <v>10</v>
      </c>
      <c r="P49" s="37">
        <v>4</v>
      </c>
      <c r="Q49" s="28">
        <f>6+0</f>
        <v>6</v>
      </c>
      <c r="S49" s="34">
        <f t="shared" si="14"/>
        <v>179</v>
      </c>
      <c r="T49" s="37">
        <v>54</v>
      </c>
      <c r="U49" s="28">
        <v>125</v>
      </c>
    </row>
    <row r="50" spans="1:21" s="24" customFormat="1" ht="15" customHeight="1">
      <c r="A50" s="12" t="s">
        <v>1</v>
      </c>
      <c r="B50" s="23"/>
      <c r="C50" s="34">
        <f t="shared" si="10"/>
        <v>277</v>
      </c>
      <c r="D50" s="82">
        <v>249</v>
      </c>
      <c r="E50" s="82">
        <v>28</v>
      </c>
      <c r="G50" s="34">
        <f t="shared" si="11"/>
        <v>252</v>
      </c>
      <c r="H50" s="28">
        <v>140</v>
      </c>
      <c r="I50" s="28">
        <f>26+86</f>
        <v>112</v>
      </c>
      <c r="K50" s="34">
        <f t="shared" si="12"/>
        <v>226</v>
      </c>
      <c r="L50" s="28">
        <v>59</v>
      </c>
      <c r="M50" s="28">
        <f>58+109</f>
        <v>167</v>
      </c>
      <c r="O50" s="34">
        <f t="shared" si="13"/>
        <v>287</v>
      </c>
      <c r="P50" s="37">
        <v>51</v>
      </c>
      <c r="Q50" s="37">
        <f>75+161</f>
        <v>236</v>
      </c>
      <c r="S50" s="34">
        <f t="shared" si="14"/>
        <v>419</v>
      </c>
      <c r="T50" s="37">
        <v>151</v>
      </c>
      <c r="U50" s="37">
        <f>41+227</f>
        <v>268</v>
      </c>
    </row>
    <row r="51" spans="1:21" s="24" customFormat="1" ht="15" customHeight="1">
      <c r="A51" s="12" t="s">
        <v>19</v>
      </c>
      <c r="B51" s="23"/>
      <c r="C51" s="34">
        <f t="shared" si="10"/>
        <v>11</v>
      </c>
      <c r="D51" s="82">
        <f>0+11</f>
        <v>11</v>
      </c>
      <c r="E51" s="82">
        <f>0+0</f>
        <v>0</v>
      </c>
      <c r="G51" s="34">
        <f t="shared" si="11"/>
        <v>13</v>
      </c>
      <c r="H51" s="28">
        <v>12</v>
      </c>
      <c r="I51" s="28">
        <v>1</v>
      </c>
      <c r="K51" s="34">
        <f t="shared" si="12"/>
        <v>2</v>
      </c>
      <c r="L51" s="28">
        <f>0</f>
        <v>0</v>
      </c>
      <c r="M51" s="28">
        <f>2</f>
        <v>2</v>
      </c>
      <c r="O51" s="34">
        <f t="shared" si="13"/>
        <v>3</v>
      </c>
      <c r="P51" s="28">
        <v>0</v>
      </c>
      <c r="Q51" s="37">
        <f>2+1</f>
        <v>3</v>
      </c>
      <c r="S51" s="34">
        <f t="shared" si="14"/>
        <v>14</v>
      </c>
      <c r="T51" s="28">
        <v>0</v>
      </c>
      <c r="U51" s="37">
        <f>10+3+1</f>
        <v>14</v>
      </c>
    </row>
    <row r="52" spans="1:5" s="24" customFormat="1" ht="15" customHeight="1">
      <c r="A52" s="12"/>
      <c r="B52" s="23"/>
      <c r="C52" s="84"/>
      <c r="D52" s="84"/>
      <c r="E52" s="84"/>
    </row>
    <row r="53" spans="1:5" s="24" customFormat="1" ht="15" customHeight="1">
      <c r="A53" s="12"/>
      <c r="B53" s="23"/>
      <c r="C53" s="84"/>
      <c r="D53" s="84"/>
      <c r="E53" s="84"/>
    </row>
    <row r="54" ht="15" customHeight="1">
      <c r="C54" s="18"/>
    </row>
    <row r="55" spans="1:21" ht="15" customHeight="1">
      <c r="A55" s="4"/>
      <c r="C55" s="89">
        <v>2017</v>
      </c>
      <c r="D55" s="89"/>
      <c r="E55" s="89"/>
      <c r="G55" s="89">
        <v>2018</v>
      </c>
      <c r="H55" s="89"/>
      <c r="I55" s="89"/>
      <c r="K55" s="89">
        <v>2019</v>
      </c>
      <c r="L55" s="89"/>
      <c r="M55" s="89"/>
      <c r="O55" s="89">
        <v>2020</v>
      </c>
      <c r="P55" s="89"/>
      <c r="Q55" s="89"/>
      <c r="S55" s="89" t="s">
        <v>81</v>
      </c>
      <c r="T55" s="89"/>
      <c r="U55" s="89"/>
    </row>
    <row r="56" spans="3:21" ht="15" customHeight="1" thickBot="1">
      <c r="C56" s="1" t="s">
        <v>5</v>
      </c>
      <c r="D56" s="1" t="s">
        <v>8</v>
      </c>
      <c r="E56" s="1" t="s">
        <v>7</v>
      </c>
      <c r="G56" s="1" t="s">
        <v>5</v>
      </c>
      <c r="H56" s="1" t="s">
        <v>8</v>
      </c>
      <c r="I56" s="1" t="s">
        <v>7</v>
      </c>
      <c r="K56" s="1" t="s">
        <v>5</v>
      </c>
      <c r="L56" s="1" t="s">
        <v>8</v>
      </c>
      <c r="M56" s="1" t="s">
        <v>7</v>
      </c>
      <c r="O56" s="1" t="s">
        <v>5</v>
      </c>
      <c r="P56" s="1" t="s">
        <v>8</v>
      </c>
      <c r="Q56" s="1" t="s">
        <v>7</v>
      </c>
      <c r="S56" s="1" t="s">
        <v>5</v>
      </c>
      <c r="T56" s="1" t="s">
        <v>8</v>
      </c>
      <c r="U56" s="1" t="s">
        <v>7</v>
      </c>
    </row>
    <row r="57" spans="1:21" ht="18" customHeight="1" thickTop="1">
      <c r="A57" s="5" t="s">
        <v>53</v>
      </c>
      <c r="B57" s="27"/>
      <c r="C57" s="36">
        <f>C59+C63</f>
        <v>934130</v>
      </c>
      <c r="D57" s="36">
        <f>D59+D63</f>
        <v>613236</v>
      </c>
      <c r="E57" s="36">
        <f>E59+E63</f>
        <v>320894</v>
      </c>
      <c r="G57" s="36">
        <f>G59+G63</f>
        <v>673284</v>
      </c>
      <c r="H57" s="36">
        <f>H59+H63</f>
        <v>445038</v>
      </c>
      <c r="I57" s="36">
        <f>I59+I63</f>
        <v>228246</v>
      </c>
      <c r="K57" s="36">
        <f>K59+K63</f>
        <v>662241</v>
      </c>
      <c r="L57" s="36">
        <f>L59+L63</f>
        <v>458996</v>
      </c>
      <c r="M57" s="36">
        <f>M59+M63</f>
        <v>203245</v>
      </c>
      <c r="O57" s="36">
        <f>O59+O63</f>
        <v>597763</v>
      </c>
      <c r="P57" s="36">
        <f>P59+P63</f>
        <v>384818</v>
      </c>
      <c r="Q57" s="36">
        <f>Q59+Q63</f>
        <v>212945</v>
      </c>
      <c r="S57" s="36">
        <f>S59+S63</f>
        <v>520777</v>
      </c>
      <c r="T57" s="36">
        <f>T59+T63</f>
        <v>343411</v>
      </c>
      <c r="U57" s="36">
        <f>U59+U63</f>
        <v>177366</v>
      </c>
    </row>
    <row r="58" spans="1:5" ht="12.75" customHeight="1">
      <c r="A58" s="6"/>
      <c r="C58" s="43"/>
      <c r="D58" s="43"/>
      <c r="E58" s="43"/>
    </row>
    <row r="59" spans="1:21" s="28" customFormat="1" ht="15" customHeight="1">
      <c r="A59" s="7" t="s">
        <v>43</v>
      </c>
      <c r="C59" s="32">
        <f>C60+C61</f>
        <v>932128</v>
      </c>
      <c r="D59" s="32">
        <f>D60+D61</f>
        <v>613134</v>
      </c>
      <c r="E59" s="32">
        <f>E60+E61</f>
        <v>318994</v>
      </c>
      <c r="G59" s="32">
        <f>G60+G61</f>
        <v>671173</v>
      </c>
      <c r="H59" s="32">
        <f>H60+H61</f>
        <v>444966</v>
      </c>
      <c r="I59" s="32">
        <f>I60+I61</f>
        <v>226207</v>
      </c>
      <c r="K59" s="32">
        <f>K60+K61</f>
        <v>659782</v>
      </c>
      <c r="L59" s="32">
        <f>L60+L61</f>
        <v>458768</v>
      </c>
      <c r="M59" s="32">
        <f>M60+M61</f>
        <v>201014</v>
      </c>
      <c r="O59" s="32">
        <f>O60+O61</f>
        <v>594593</v>
      </c>
      <c r="P59" s="32">
        <f>P60+P61</f>
        <v>384562</v>
      </c>
      <c r="Q59" s="32">
        <f>Q60+Q61</f>
        <v>210031</v>
      </c>
      <c r="S59" s="32">
        <f>S60+S61</f>
        <v>517534</v>
      </c>
      <c r="T59" s="32">
        <f>T60+T61</f>
        <v>343298</v>
      </c>
      <c r="U59" s="32">
        <f>U60+U61</f>
        <v>174236</v>
      </c>
    </row>
    <row r="60" spans="1:21" s="28" customFormat="1" ht="15" customHeight="1">
      <c r="A60" s="9" t="s">
        <v>54</v>
      </c>
      <c r="B60" s="25"/>
      <c r="C60" s="34">
        <f>+D60+E60</f>
        <v>57701</v>
      </c>
      <c r="D60" s="34">
        <f>+D68</f>
        <v>6809</v>
      </c>
      <c r="E60" s="34">
        <f>+E68</f>
        <v>50892</v>
      </c>
      <c r="G60" s="37">
        <f>H60+I60</f>
        <v>49289</v>
      </c>
      <c r="H60" s="37">
        <f>H68</f>
        <v>9267</v>
      </c>
      <c r="I60" s="37">
        <f>I68</f>
        <v>40022</v>
      </c>
      <c r="K60" s="37">
        <f>L60+M60</f>
        <v>50097</v>
      </c>
      <c r="L60" s="37">
        <f>L68</f>
        <v>4543</v>
      </c>
      <c r="M60" s="37">
        <f>M68</f>
        <v>45554</v>
      </c>
      <c r="O60" s="37">
        <f>P60+Q60</f>
        <v>56841</v>
      </c>
      <c r="P60" s="37">
        <f>P68</f>
        <v>5365</v>
      </c>
      <c r="Q60" s="37">
        <f>Q68</f>
        <v>51476</v>
      </c>
      <c r="S60" s="37">
        <f>T60+U60</f>
        <v>46735</v>
      </c>
      <c r="T60" s="37">
        <f>T68</f>
        <v>5000</v>
      </c>
      <c r="U60" s="37">
        <f>U68</f>
        <v>41735</v>
      </c>
    </row>
    <row r="61" spans="1:21" s="28" customFormat="1" ht="15" customHeight="1">
      <c r="A61" s="9" t="s">
        <v>56</v>
      </c>
      <c r="B61" s="25"/>
      <c r="C61" s="34">
        <f>+D61+E61</f>
        <v>874427</v>
      </c>
      <c r="D61" s="34">
        <f>+D73</f>
        <v>606325</v>
      </c>
      <c r="E61" s="34">
        <f>+E73</f>
        <v>268102</v>
      </c>
      <c r="G61" s="37">
        <f>H61+I61</f>
        <v>621884</v>
      </c>
      <c r="H61" s="37">
        <f>H73</f>
        <v>435699</v>
      </c>
      <c r="I61" s="37">
        <f>I73</f>
        <v>186185</v>
      </c>
      <c r="K61" s="37">
        <f>L61+M61</f>
        <v>609685</v>
      </c>
      <c r="L61" s="37">
        <f>L73</f>
        <v>454225</v>
      </c>
      <c r="M61" s="37">
        <f>M73</f>
        <v>155460</v>
      </c>
      <c r="O61" s="37">
        <f>P61+Q61</f>
        <v>537752</v>
      </c>
      <c r="P61" s="37">
        <f>P73</f>
        <v>379197</v>
      </c>
      <c r="Q61" s="37">
        <f>Q73</f>
        <v>158555</v>
      </c>
      <c r="S61" s="37">
        <f>T61+U61</f>
        <v>470799</v>
      </c>
      <c r="T61" s="37">
        <f>T73</f>
        <v>338298</v>
      </c>
      <c r="U61" s="37">
        <f>U73</f>
        <v>132501</v>
      </c>
    </row>
    <row r="62" spans="1:5" s="28" customFormat="1" ht="7.5" customHeight="1">
      <c r="A62" s="9"/>
      <c r="C62" s="22"/>
      <c r="D62" s="22"/>
      <c r="E62" s="22"/>
    </row>
    <row r="63" spans="1:21" s="28" customFormat="1" ht="15" customHeight="1">
      <c r="A63" s="7" t="s">
        <v>73</v>
      </c>
      <c r="C63" s="33">
        <f>SUM(C64:C66)</f>
        <v>2002</v>
      </c>
      <c r="D63" s="32">
        <f>C63-E63</f>
        <v>102</v>
      </c>
      <c r="E63" s="33">
        <f>SUM(E64:E66)</f>
        <v>1900</v>
      </c>
      <c r="G63" s="33">
        <f>SUM(G64:G66)</f>
        <v>2111</v>
      </c>
      <c r="H63" s="32">
        <f>G63-I63</f>
        <v>72</v>
      </c>
      <c r="I63" s="33">
        <f>SUM(I64:I66)</f>
        <v>2039</v>
      </c>
      <c r="K63" s="33">
        <f>SUM(K64:K66)</f>
        <v>2459</v>
      </c>
      <c r="L63" s="32">
        <f>K63-M63</f>
        <v>228</v>
      </c>
      <c r="M63" s="33">
        <f>SUM(M64:M66)</f>
        <v>2231</v>
      </c>
      <c r="O63" s="33">
        <f>SUM(O64:O66)</f>
        <v>3170</v>
      </c>
      <c r="P63" s="32">
        <f>O63-Q63</f>
        <v>256</v>
      </c>
      <c r="Q63" s="33">
        <f>SUM(Q64:Q66)</f>
        <v>2914</v>
      </c>
      <c r="S63" s="33">
        <f>SUM(S64:S66)</f>
        <v>3243</v>
      </c>
      <c r="T63" s="32">
        <f>S63-U63</f>
        <v>113</v>
      </c>
      <c r="U63" s="33">
        <f>SUM(U64:U66)</f>
        <v>3130</v>
      </c>
    </row>
    <row r="64" spans="1:21" s="28" customFormat="1" ht="15" customHeight="1">
      <c r="A64" s="9" t="s">
        <v>59</v>
      </c>
      <c r="B64" s="25"/>
      <c r="C64" s="34">
        <f>+D64+E64</f>
        <v>1958</v>
      </c>
      <c r="D64" s="83">
        <v>69</v>
      </c>
      <c r="E64" s="83">
        <v>1889</v>
      </c>
      <c r="G64" s="34">
        <f>+H64+I64</f>
        <v>2069</v>
      </c>
      <c r="H64" s="28">
        <v>40</v>
      </c>
      <c r="I64" s="28">
        <f>1989+40</f>
        <v>2029</v>
      </c>
      <c r="K64" s="34">
        <f>+L64+M64</f>
        <v>2275</v>
      </c>
      <c r="L64" s="28">
        <v>53</v>
      </c>
      <c r="M64" s="28">
        <f>2191+31</f>
        <v>2222</v>
      </c>
      <c r="O64" s="34">
        <f>+P64+Q64</f>
        <v>2949</v>
      </c>
      <c r="P64" s="37">
        <v>45</v>
      </c>
      <c r="Q64" s="37">
        <f>2878+26</f>
        <v>2904</v>
      </c>
      <c r="S64" s="34">
        <f>+T64+U64</f>
        <v>3014</v>
      </c>
      <c r="T64" s="37">
        <v>96</v>
      </c>
      <c r="U64" s="37">
        <f>2893+25</f>
        <v>2918</v>
      </c>
    </row>
    <row r="65" spans="1:21" s="28" customFormat="1" ht="15" customHeight="1">
      <c r="A65" s="9" t="s">
        <v>60</v>
      </c>
      <c r="B65" s="25"/>
      <c r="C65" s="34">
        <f>+D65+E65</f>
        <v>0</v>
      </c>
      <c r="D65" s="83">
        <v>0</v>
      </c>
      <c r="E65" s="83">
        <v>0</v>
      </c>
      <c r="G65" s="34">
        <f>+H65+I65</f>
        <v>0</v>
      </c>
      <c r="H65" s="28">
        <v>0</v>
      </c>
      <c r="I65" s="28">
        <v>0</v>
      </c>
      <c r="K65" s="34">
        <f>+L65+M65</f>
        <v>0</v>
      </c>
      <c r="L65" s="28">
        <v>0</v>
      </c>
      <c r="M65" s="28">
        <v>0</v>
      </c>
      <c r="O65" s="34">
        <f>+P65+Q65</f>
        <v>0</v>
      </c>
      <c r="P65" s="28">
        <v>0</v>
      </c>
      <c r="Q65" s="28">
        <v>0</v>
      </c>
      <c r="S65" s="34">
        <f>+T65+U65</f>
        <v>0</v>
      </c>
      <c r="T65" s="28">
        <v>0</v>
      </c>
      <c r="U65" s="28">
        <v>0</v>
      </c>
    </row>
    <row r="66" spans="1:21" s="28" customFormat="1" ht="15" customHeight="1">
      <c r="A66" s="9" t="s">
        <v>61</v>
      </c>
      <c r="B66" s="25"/>
      <c r="C66" s="34">
        <f>+D66+E66</f>
        <v>44</v>
      </c>
      <c r="D66" s="83">
        <v>33</v>
      </c>
      <c r="E66" s="83">
        <v>11</v>
      </c>
      <c r="G66" s="34">
        <f>+H66+I66</f>
        <v>42</v>
      </c>
      <c r="H66" s="28">
        <v>32</v>
      </c>
      <c r="I66" s="28">
        <f>8+2</f>
        <v>10</v>
      </c>
      <c r="K66" s="34">
        <f>+L66+M66</f>
        <v>184</v>
      </c>
      <c r="L66" s="28">
        <v>175</v>
      </c>
      <c r="M66" s="28">
        <f>7+2</f>
        <v>9</v>
      </c>
      <c r="O66" s="34">
        <f>+P66+Q66</f>
        <v>221</v>
      </c>
      <c r="P66" s="37">
        <v>211</v>
      </c>
      <c r="Q66" s="37">
        <f>8+2</f>
        <v>10</v>
      </c>
      <c r="S66" s="34">
        <f>+T66+U66</f>
        <v>229</v>
      </c>
      <c r="T66" s="37">
        <v>17</v>
      </c>
      <c r="U66" s="37">
        <f>9+203</f>
        <v>212</v>
      </c>
    </row>
    <row r="67" spans="1:5" s="28" customFormat="1" ht="15" customHeight="1">
      <c r="A67" s="7"/>
      <c r="B67" s="25"/>
      <c r="C67" s="85"/>
      <c r="D67" s="20"/>
      <c r="E67" s="84"/>
    </row>
    <row r="68" spans="1:21" ht="18" customHeight="1">
      <c r="A68" s="7" t="s">
        <v>74</v>
      </c>
      <c r="C68" s="32">
        <f>SUM(C69:C71)</f>
        <v>57701</v>
      </c>
      <c r="D68" s="32">
        <f>SUM(D69:D71)</f>
        <v>6809</v>
      </c>
      <c r="E68" s="32">
        <f>SUM(E69:E71)</f>
        <v>50892</v>
      </c>
      <c r="G68" s="32">
        <f>SUM(G69:G71)</f>
        <v>49289</v>
      </c>
      <c r="H68" s="32">
        <f>SUM(H69:H71)</f>
        <v>9267</v>
      </c>
      <c r="I68" s="32">
        <f>SUM(I69:I71)</f>
        <v>40022</v>
      </c>
      <c r="K68" s="32">
        <f>SUM(K69:K71)</f>
        <v>50097</v>
      </c>
      <c r="L68" s="32">
        <f>SUM(L69:L71)</f>
        <v>4543</v>
      </c>
      <c r="M68" s="32">
        <f>SUM(M69:M71)</f>
        <v>45554</v>
      </c>
      <c r="O68" s="32">
        <f>SUM(O69:O71)</f>
        <v>56841</v>
      </c>
      <c r="P68" s="32">
        <f>SUM(P69:P71)</f>
        <v>5365</v>
      </c>
      <c r="Q68" s="32">
        <f>SUM(Q69:Q71)</f>
        <v>51476</v>
      </c>
      <c r="S68" s="32">
        <f>SUM(S69:S71)</f>
        <v>46735</v>
      </c>
      <c r="T68" s="32">
        <f>SUM(T69:T71)</f>
        <v>5000</v>
      </c>
      <c r="U68" s="32">
        <f>SUM(U69:U71)</f>
        <v>41735</v>
      </c>
    </row>
    <row r="69" spans="1:21" s="28" customFormat="1" ht="15" customHeight="1">
      <c r="A69" s="9" t="s">
        <v>59</v>
      </c>
      <c r="B69" s="25"/>
      <c r="C69" s="34">
        <f>+D69+E69</f>
        <v>57200</v>
      </c>
      <c r="D69" s="84">
        <v>6704</v>
      </c>
      <c r="E69" s="84">
        <v>50496</v>
      </c>
      <c r="G69" s="34">
        <f>+H69+I69</f>
        <v>46079</v>
      </c>
      <c r="H69" s="28">
        <v>6764</v>
      </c>
      <c r="I69" s="28">
        <f>39145+170</f>
        <v>39315</v>
      </c>
      <c r="K69" s="34">
        <f>+L69+M69</f>
        <v>47308</v>
      </c>
      <c r="L69" s="28">
        <v>3796</v>
      </c>
      <c r="M69" s="28">
        <f>43418+94</f>
        <v>43512</v>
      </c>
      <c r="O69" s="34">
        <f>+P69+Q69</f>
        <v>50677</v>
      </c>
      <c r="P69" s="37">
        <v>2882</v>
      </c>
      <c r="Q69" s="37">
        <f>47720+75</f>
        <v>47795</v>
      </c>
      <c r="S69" s="34">
        <f>+T69+U69</f>
        <v>41120</v>
      </c>
      <c r="T69" s="37">
        <v>603</v>
      </c>
      <c r="U69" s="37">
        <f>40490+27</f>
        <v>40517</v>
      </c>
    </row>
    <row r="70" spans="1:21" s="28" customFormat="1" ht="15" customHeight="1">
      <c r="A70" s="9" t="s">
        <v>60</v>
      </c>
      <c r="B70" s="25"/>
      <c r="C70" s="34">
        <f>+D70+E70</f>
        <v>0</v>
      </c>
      <c r="D70" s="84">
        <v>0</v>
      </c>
      <c r="E70" s="84">
        <v>0</v>
      </c>
      <c r="G70" s="34">
        <f>+H70+I70</f>
        <v>1664</v>
      </c>
      <c r="H70" s="28">
        <v>1664</v>
      </c>
      <c r="I70" s="28">
        <v>0</v>
      </c>
      <c r="K70" s="34">
        <f>+L70+M70</f>
        <v>1048</v>
      </c>
      <c r="L70" s="28">
        <v>645</v>
      </c>
      <c r="M70" s="28">
        <f>403</f>
        <v>403</v>
      </c>
      <c r="O70" s="34">
        <f>+P70+Q70</f>
        <v>5474</v>
      </c>
      <c r="P70" s="37">
        <v>2369</v>
      </c>
      <c r="Q70" s="37">
        <f>3105+0</f>
        <v>3105</v>
      </c>
      <c r="S70" s="34">
        <f>+T70+U70</f>
        <v>3507</v>
      </c>
      <c r="T70" s="37">
        <v>3160</v>
      </c>
      <c r="U70" s="37">
        <v>347</v>
      </c>
    </row>
    <row r="71" spans="1:21" s="28" customFormat="1" ht="15" customHeight="1">
      <c r="A71" s="9" t="s">
        <v>61</v>
      </c>
      <c r="B71" s="25"/>
      <c r="C71" s="34">
        <f>+D71+E71</f>
        <v>501</v>
      </c>
      <c r="D71" s="84">
        <v>105</v>
      </c>
      <c r="E71" s="84">
        <v>396</v>
      </c>
      <c r="G71" s="34">
        <f>+H71+I71</f>
        <v>1546</v>
      </c>
      <c r="H71" s="28">
        <v>839</v>
      </c>
      <c r="I71" s="28">
        <f>706+1</f>
        <v>707</v>
      </c>
      <c r="K71" s="34">
        <f>+L71+M71</f>
        <v>1741</v>
      </c>
      <c r="L71" s="28">
        <v>102</v>
      </c>
      <c r="M71" s="28">
        <f>1620+19</f>
        <v>1639</v>
      </c>
      <c r="O71" s="34">
        <f>+P71+Q71</f>
        <v>690</v>
      </c>
      <c r="P71" s="37">
        <v>114</v>
      </c>
      <c r="Q71" s="37">
        <f>555+21</f>
        <v>576</v>
      </c>
      <c r="S71" s="34">
        <f>+T71+U71</f>
        <v>2108</v>
      </c>
      <c r="T71" s="37">
        <v>1237</v>
      </c>
      <c r="U71" s="37">
        <f>866+5</f>
        <v>871</v>
      </c>
    </row>
    <row r="72" spans="1:5" s="28" customFormat="1" ht="15" customHeight="1">
      <c r="A72" s="10"/>
      <c r="B72" s="25"/>
      <c r="C72" s="20"/>
      <c r="D72" s="20"/>
      <c r="E72" s="20"/>
    </row>
    <row r="73" spans="1:21" ht="18" customHeight="1">
      <c r="A73" s="7" t="s">
        <v>62</v>
      </c>
      <c r="C73" s="32">
        <f>C75+C84+C93</f>
        <v>874427</v>
      </c>
      <c r="D73" s="32">
        <f>D75+D84+D93</f>
        <v>606325</v>
      </c>
      <c r="E73" s="32">
        <f>E75+E84+E93</f>
        <v>268102</v>
      </c>
      <c r="G73" s="32">
        <f>G75+G84+G93</f>
        <v>621884</v>
      </c>
      <c r="H73" s="32">
        <f>H75+H84+H93</f>
        <v>435699</v>
      </c>
      <c r="I73" s="32">
        <f>I75+I84+I93</f>
        <v>186185</v>
      </c>
      <c r="K73" s="32">
        <f>K75+K84+K93</f>
        <v>609685</v>
      </c>
      <c r="L73" s="32">
        <f>L75+L84+L93</f>
        <v>454225</v>
      </c>
      <c r="M73" s="32">
        <f>M75+M84+M93</f>
        <v>155460</v>
      </c>
      <c r="O73" s="32">
        <f>O75+O84+O93</f>
        <v>537752</v>
      </c>
      <c r="P73" s="32">
        <f>P75+P84+P93</f>
        <v>379197</v>
      </c>
      <c r="Q73" s="32">
        <f>Q75+Q84+Q93</f>
        <v>158555</v>
      </c>
      <c r="S73" s="32">
        <f>S75+S84+S93</f>
        <v>470799</v>
      </c>
      <c r="T73" s="32">
        <f>T75+T84+T93</f>
        <v>338298</v>
      </c>
      <c r="U73" s="32">
        <f>U75+U84+U93</f>
        <v>132501</v>
      </c>
    </row>
    <row r="74" spans="1:5" ht="15" customHeight="1">
      <c r="A74" s="14"/>
      <c r="C74" s="48"/>
      <c r="D74" s="19"/>
      <c r="E74" s="48"/>
    </row>
    <row r="75" spans="1:21" ht="18" customHeight="1">
      <c r="A75" s="7" t="s">
        <v>65</v>
      </c>
      <c r="C75" s="32">
        <f>SUM(C76:C82)</f>
        <v>775052</v>
      </c>
      <c r="D75" s="32">
        <f>SUM(D76:D82)</f>
        <v>522189</v>
      </c>
      <c r="E75" s="32">
        <f>SUM(E76:E82)</f>
        <v>252863</v>
      </c>
      <c r="G75" s="32">
        <f>SUM(G76:G82)</f>
        <v>530589</v>
      </c>
      <c r="H75" s="32">
        <f>SUM(H76:H82)</f>
        <v>372550</v>
      </c>
      <c r="I75" s="32">
        <f>SUM(I76:I82)</f>
        <v>158039</v>
      </c>
      <c r="K75" s="32">
        <f>SUM(K76:K82)</f>
        <v>512202</v>
      </c>
      <c r="L75" s="32">
        <f>SUM(L76:L82)</f>
        <v>388057</v>
      </c>
      <c r="M75" s="32">
        <f>SUM(M76:M82)</f>
        <v>124145</v>
      </c>
      <c r="O75" s="32">
        <f>SUM(O76:O82)</f>
        <v>455599</v>
      </c>
      <c r="P75" s="32">
        <f>SUM(P76:P82)</f>
        <v>327860</v>
      </c>
      <c r="Q75" s="32">
        <f>SUM(Q76:Q82)</f>
        <v>127739</v>
      </c>
      <c r="S75" s="32">
        <f>SUM(S76:S82)</f>
        <v>396863</v>
      </c>
      <c r="T75" s="32">
        <f>SUM(T76:T82)</f>
        <v>297207</v>
      </c>
      <c r="U75" s="32">
        <f>SUM(U76:U82)</f>
        <v>99656</v>
      </c>
    </row>
    <row r="76" spans="1:21" s="28" customFormat="1" ht="15" customHeight="1">
      <c r="A76" s="9" t="s">
        <v>4</v>
      </c>
      <c r="B76" s="25"/>
      <c r="C76" s="34">
        <f aca="true" t="shared" si="15" ref="C76:C82">+D76+E76</f>
        <v>690245</v>
      </c>
      <c r="D76" s="82">
        <v>460616</v>
      </c>
      <c r="E76" s="82">
        <v>229629</v>
      </c>
      <c r="G76" s="34">
        <f aca="true" t="shared" si="16" ref="G76:G82">+H76+I76</f>
        <v>442455</v>
      </c>
      <c r="H76" s="28">
        <v>302246</v>
      </c>
      <c r="I76" s="28">
        <f>140058+151</f>
        <v>140209</v>
      </c>
      <c r="K76" s="34">
        <f aca="true" t="shared" si="17" ref="K76:K82">+L76+M76</f>
        <v>434712</v>
      </c>
      <c r="L76" s="28">
        <v>326490</v>
      </c>
      <c r="M76" s="28">
        <f>108094+128</f>
        <v>108222</v>
      </c>
      <c r="O76" s="34">
        <f aca="true" t="shared" si="18" ref="O76:O82">+P76+Q76</f>
        <v>378270</v>
      </c>
      <c r="P76" s="37">
        <v>269231</v>
      </c>
      <c r="Q76" s="37">
        <f>108902+137</f>
        <v>109039</v>
      </c>
      <c r="S76" s="34">
        <f aca="true" t="shared" si="19" ref="S76:S82">+T76+U76</f>
        <v>332587</v>
      </c>
      <c r="T76" s="37">
        <v>248795</v>
      </c>
      <c r="U76" s="37">
        <f>83761+31</f>
        <v>83792</v>
      </c>
    </row>
    <row r="77" spans="1:21" s="24" customFormat="1" ht="15" customHeight="1">
      <c r="A77" s="9" t="s">
        <v>0</v>
      </c>
      <c r="B77" s="23"/>
      <c r="C77" s="34">
        <f t="shared" si="15"/>
        <v>55634</v>
      </c>
      <c r="D77" s="82">
        <v>43924</v>
      </c>
      <c r="E77" s="82">
        <v>11710</v>
      </c>
      <c r="G77" s="34">
        <f t="shared" si="16"/>
        <v>61848</v>
      </c>
      <c r="H77" s="28">
        <v>52085</v>
      </c>
      <c r="I77" s="28">
        <f>9609+154</f>
        <v>9763</v>
      </c>
      <c r="K77" s="34">
        <f t="shared" si="17"/>
        <v>46648</v>
      </c>
      <c r="L77" s="28">
        <v>39667</v>
      </c>
      <c r="M77" s="28">
        <f>6900+81</f>
        <v>6981</v>
      </c>
      <c r="O77" s="34">
        <f t="shared" si="18"/>
        <v>43648</v>
      </c>
      <c r="P77" s="37">
        <v>36948</v>
      </c>
      <c r="Q77" s="37">
        <f>6642+58</f>
        <v>6700</v>
      </c>
      <c r="S77" s="34">
        <f t="shared" si="19"/>
        <v>37993</v>
      </c>
      <c r="T77" s="37">
        <v>30855</v>
      </c>
      <c r="U77" s="37">
        <f>7115+23</f>
        <v>7138</v>
      </c>
    </row>
    <row r="78" spans="1:21" s="24" customFormat="1" ht="15" customHeight="1">
      <c r="A78" s="9" t="s">
        <v>9</v>
      </c>
      <c r="B78" s="23"/>
      <c r="C78" s="34">
        <f t="shared" si="15"/>
        <v>599</v>
      </c>
      <c r="D78" s="82">
        <v>596</v>
      </c>
      <c r="E78" s="82">
        <v>3</v>
      </c>
      <c r="G78" s="34">
        <f t="shared" si="16"/>
        <v>285</v>
      </c>
      <c r="H78" s="28">
        <v>283</v>
      </c>
      <c r="I78" s="28">
        <v>2</v>
      </c>
      <c r="K78" s="34">
        <f t="shared" si="17"/>
        <v>447</v>
      </c>
      <c r="L78" s="28">
        <v>442</v>
      </c>
      <c r="M78" s="28">
        <f>5</f>
        <v>5</v>
      </c>
      <c r="O78" s="34">
        <f t="shared" si="18"/>
        <v>72</v>
      </c>
      <c r="P78" s="37">
        <v>62</v>
      </c>
      <c r="Q78" s="37">
        <f>10+0</f>
        <v>10</v>
      </c>
      <c r="S78" s="34">
        <f t="shared" si="19"/>
        <v>585</v>
      </c>
      <c r="T78" s="37">
        <v>578</v>
      </c>
      <c r="U78" s="37">
        <v>7</v>
      </c>
    </row>
    <row r="79" spans="1:21" s="24" customFormat="1" ht="15" customHeight="1">
      <c r="A79" s="9" t="s">
        <v>2</v>
      </c>
      <c r="B79" s="23"/>
      <c r="C79" s="34">
        <f t="shared" si="15"/>
        <v>16233</v>
      </c>
      <c r="D79" s="82">
        <v>7844</v>
      </c>
      <c r="E79" s="82">
        <v>8389</v>
      </c>
      <c r="G79" s="34">
        <f t="shared" si="16"/>
        <v>16631</v>
      </c>
      <c r="H79" s="28">
        <v>10732</v>
      </c>
      <c r="I79" s="28">
        <f>5837+62</f>
        <v>5899</v>
      </c>
      <c r="K79" s="34">
        <f t="shared" si="17"/>
        <v>19529</v>
      </c>
      <c r="L79" s="28">
        <v>12139</v>
      </c>
      <c r="M79" s="28">
        <f>7309+81</f>
        <v>7390</v>
      </c>
      <c r="O79" s="34">
        <f t="shared" si="18"/>
        <v>25432</v>
      </c>
      <c r="P79" s="37">
        <v>14681</v>
      </c>
      <c r="Q79" s="37">
        <f>10691+60</f>
        <v>10751</v>
      </c>
      <c r="S79" s="34">
        <f t="shared" si="19"/>
        <v>13652</v>
      </c>
      <c r="T79" s="37">
        <v>6584</v>
      </c>
      <c r="U79" s="37">
        <f>7037+31</f>
        <v>7068</v>
      </c>
    </row>
    <row r="80" spans="1:21" s="24" customFormat="1" ht="15" customHeight="1">
      <c r="A80" s="9" t="s">
        <v>3</v>
      </c>
      <c r="B80" s="23"/>
      <c r="C80" s="34">
        <f t="shared" si="15"/>
        <v>2786</v>
      </c>
      <c r="D80" s="82">
        <v>2613</v>
      </c>
      <c r="E80" s="82">
        <v>173</v>
      </c>
      <c r="G80" s="34">
        <f t="shared" si="16"/>
        <v>3573</v>
      </c>
      <c r="H80" s="28">
        <v>2520</v>
      </c>
      <c r="I80" s="28">
        <f>1052+1</f>
        <v>1053</v>
      </c>
      <c r="K80" s="34">
        <f t="shared" si="17"/>
        <v>2950</v>
      </c>
      <c r="L80" s="28">
        <v>2461</v>
      </c>
      <c r="M80" s="28">
        <f>484+5</f>
        <v>489</v>
      </c>
      <c r="O80" s="34">
        <f t="shared" si="18"/>
        <v>1377</v>
      </c>
      <c r="P80" s="37">
        <v>1047</v>
      </c>
      <c r="Q80" s="37">
        <f>329+1</f>
        <v>330</v>
      </c>
      <c r="S80" s="34">
        <f t="shared" si="19"/>
        <v>7317</v>
      </c>
      <c r="T80" s="37">
        <v>6647</v>
      </c>
      <c r="U80" s="37">
        <v>670</v>
      </c>
    </row>
    <row r="81" spans="1:21" s="24" customFormat="1" ht="15" customHeight="1">
      <c r="A81" s="9" t="s">
        <v>1</v>
      </c>
      <c r="B81" s="29"/>
      <c r="C81" s="34">
        <f t="shared" si="15"/>
        <v>9069</v>
      </c>
      <c r="D81" s="82">
        <v>6535</v>
      </c>
      <c r="E81" s="82">
        <v>2534</v>
      </c>
      <c r="G81" s="34">
        <f t="shared" si="16"/>
        <v>5794</v>
      </c>
      <c r="H81" s="28">
        <v>4684</v>
      </c>
      <c r="I81" s="28">
        <v>1110</v>
      </c>
      <c r="K81" s="34">
        <f t="shared" si="17"/>
        <v>7908</v>
      </c>
      <c r="L81" s="28">
        <v>6858</v>
      </c>
      <c r="M81" s="28">
        <f>1050</f>
        <v>1050</v>
      </c>
      <c r="O81" s="34">
        <f t="shared" si="18"/>
        <v>6800</v>
      </c>
      <c r="P81" s="37">
        <v>5891</v>
      </c>
      <c r="Q81" s="37">
        <f>909+0</f>
        <v>909</v>
      </c>
      <c r="S81" s="34">
        <f t="shared" si="19"/>
        <v>4729</v>
      </c>
      <c r="T81" s="37">
        <v>3748</v>
      </c>
      <c r="U81" s="37">
        <v>981</v>
      </c>
    </row>
    <row r="82" spans="1:21" s="24" customFormat="1" ht="15" customHeight="1">
      <c r="A82" s="9" t="s">
        <v>19</v>
      </c>
      <c r="B82" s="23"/>
      <c r="C82" s="34">
        <f t="shared" si="15"/>
        <v>486</v>
      </c>
      <c r="D82" s="82">
        <f>0+61</f>
        <v>61</v>
      </c>
      <c r="E82" s="82">
        <f>425+0</f>
        <v>425</v>
      </c>
      <c r="G82" s="34">
        <f t="shared" si="16"/>
        <v>3</v>
      </c>
      <c r="H82" s="28">
        <v>0</v>
      </c>
      <c r="I82" s="28">
        <v>3</v>
      </c>
      <c r="K82" s="34">
        <f t="shared" si="17"/>
        <v>8</v>
      </c>
      <c r="L82" s="28">
        <f>0</f>
        <v>0</v>
      </c>
      <c r="M82" s="28">
        <f>8</f>
        <v>8</v>
      </c>
      <c r="O82" s="34">
        <f t="shared" si="18"/>
        <v>0</v>
      </c>
      <c r="P82" s="28">
        <v>0</v>
      </c>
      <c r="Q82" s="28">
        <v>0</v>
      </c>
      <c r="S82" s="34">
        <f t="shared" si="19"/>
        <v>0</v>
      </c>
      <c r="T82" s="28">
        <v>0</v>
      </c>
      <c r="U82" s="28">
        <v>0</v>
      </c>
    </row>
    <row r="83" spans="1:5" ht="15" customHeight="1">
      <c r="A83" s="14"/>
      <c r="C83" s="56"/>
      <c r="D83" s="19"/>
      <c r="E83" s="56"/>
    </row>
    <row r="84" spans="1:21" ht="18" customHeight="1">
      <c r="A84" s="7" t="s">
        <v>76</v>
      </c>
      <c r="C84" s="32">
        <f>C91</f>
        <v>34487</v>
      </c>
      <c r="D84" s="86">
        <f>D91</f>
        <v>34487</v>
      </c>
      <c r="E84" s="86">
        <f>E91</f>
        <v>0</v>
      </c>
      <c r="G84" s="32">
        <f>SUM(G85:G91)</f>
        <v>32397</v>
      </c>
      <c r="H84" s="86">
        <f>SUM(H85:H91)</f>
        <v>18164</v>
      </c>
      <c r="I84" s="86">
        <f>SUM(I85:I91)</f>
        <v>14233</v>
      </c>
      <c r="K84" s="32">
        <f>SUM(K85:K91)</f>
        <v>35871</v>
      </c>
      <c r="L84" s="32">
        <f>SUM(L85:L91)</f>
        <v>21497</v>
      </c>
      <c r="M84" s="32">
        <f>SUM(M85:M91)</f>
        <v>14374</v>
      </c>
      <c r="O84" s="32">
        <f>SUM(O85:O91)</f>
        <v>34687</v>
      </c>
      <c r="P84" s="32">
        <f>SUM(P85:P91)</f>
        <v>21261</v>
      </c>
      <c r="Q84" s="32">
        <f>SUM(Q85:Q91)</f>
        <v>13426</v>
      </c>
      <c r="S84" s="32">
        <f>SUM(S85:S91)</f>
        <v>31535</v>
      </c>
      <c r="T84" s="32">
        <f>SUM(T85:T91)</f>
        <v>16555</v>
      </c>
      <c r="U84" s="32">
        <f>SUM(U85:U91)</f>
        <v>14980</v>
      </c>
    </row>
    <row r="85" spans="1:21" ht="15" customHeight="1">
      <c r="A85" s="9" t="s">
        <v>4</v>
      </c>
      <c r="C85" s="32"/>
      <c r="D85" s="86"/>
      <c r="E85" s="86"/>
      <c r="G85" s="34">
        <f aca="true" t="shared" si="20" ref="G85:G90">+H85+I85</f>
        <v>17170</v>
      </c>
      <c r="H85" s="28">
        <v>4982</v>
      </c>
      <c r="I85" s="28">
        <v>12188</v>
      </c>
      <c r="K85" s="34">
        <f aca="true" t="shared" si="21" ref="K85:K90">+L85+M85</f>
        <v>15426</v>
      </c>
      <c r="L85" s="28">
        <v>4316</v>
      </c>
      <c r="M85" s="28">
        <f>11110</f>
        <v>11110</v>
      </c>
      <c r="O85" s="34">
        <f aca="true" t="shared" si="22" ref="O85:O90">+P85+Q85</f>
        <v>12842</v>
      </c>
      <c r="P85" s="37">
        <v>2846</v>
      </c>
      <c r="Q85" s="37">
        <f>9996+0</f>
        <v>9996</v>
      </c>
      <c r="S85" s="34">
        <f aca="true" t="shared" si="23" ref="S85:S91">+T85+U85</f>
        <v>13634</v>
      </c>
      <c r="T85" s="37">
        <v>1098</v>
      </c>
      <c r="U85" s="37">
        <f>11936+600</f>
        <v>12536</v>
      </c>
    </row>
    <row r="86" spans="1:21" ht="15" customHeight="1">
      <c r="A86" s="9" t="s">
        <v>0</v>
      </c>
      <c r="C86" s="32"/>
      <c r="D86" s="86"/>
      <c r="E86" s="86"/>
      <c r="G86" s="34">
        <f t="shared" si="20"/>
        <v>521</v>
      </c>
      <c r="H86" s="28">
        <v>265</v>
      </c>
      <c r="I86" s="28">
        <v>256</v>
      </c>
      <c r="K86" s="34">
        <f t="shared" si="21"/>
        <v>824</v>
      </c>
      <c r="L86" s="28">
        <v>237</v>
      </c>
      <c r="M86" s="28">
        <f>587</f>
        <v>587</v>
      </c>
      <c r="O86" s="34">
        <f t="shared" si="22"/>
        <v>832</v>
      </c>
      <c r="P86" s="37">
        <v>235</v>
      </c>
      <c r="Q86" s="37">
        <f>597+0</f>
        <v>597</v>
      </c>
      <c r="S86" s="34">
        <f t="shared" si="23"/>
        <v>570</v>
      </c>
      <c r="T86" s="37">
        <v>192</v>
      </c>
      <c r="U86" s="37">
        <v>378</v>
      </c>
    </row>
    <row r="87" spans="1:21" ht="15" customHeight="1">
      <c r="A87" s="9" t="s">
        <v>9</v>
      </c>
      <c r="C87" s="32"/>
      <c r="D87" s="86"/>
      <c r="E87" s="86"/>
      <c r="G87" s="34">
        <f t="shared" si="20"/>
        <v>0</v>
      </c>
      <c r="H87" s="28">
        <v>0</v>
      </c>
      <c r="I87" s="28">
        <v>0</v>
      </c>
      <c r="K87" s="34">
        <f t="shared" si="21"/>
        <v>0</v>
      </c>
      <c r="L87" s="28">
        <v>0</v>
      </c>
      <c r="M87" s="28">
        <v>0</v>
      </c>
      <c r="O87" s="34">
        <f t="shared" si="22"/>
        <v>0</v>
      </c>
      <c r="P87" s="28">
        <v>0</v>
      </c>
      <c r="Q87" s="28">
        <v>0</v>
      </c>
      <c r="S87" s="34">
        <f t="shared" si="23"/>
        <v>0</v>
      </c>
      <c r="T87" s="28">
        <v>0</v>
      </c>
      <c r="U87" s="28">
        <v>0</v>
      </c>
    </row>
    <row r="88" spans="1:21" ht="15" customHeight="1">
      <c r="A88" s="9" t="s">
        <v>2</v>
      </c>
      <c r="C88" s="32"/>
      <c r="D88" s="86"/>
      <c r="E88" s="86"/>
      <c r="G88" s="34">
        <f t="shared" si="20"/>
        <v>3135</v>
      </c>
      <c r="H88" s="28">
        <v>2992</v>
      </c>
      <c r="I88" s="28">
        <f>1+142</f>
        <v>143</v>
      </c>
      <c r="K88" s="34">
        <f t="shared" si="21"/>
        <v>7054</v>
      </c>
      <c r="L88" s="28">
        <v>6273</v>
      </c>
      <c r="M88" s="28">
        <f>655+126</f>
        <v>781</v>
      </c>
      <c r="O88" s="34">
        <f t="shared" si="22"/>
        <v>7224</v>
      </c>
      <c r="P88" s="37">
        <v>6288</v>
      </c>
      <c r="Q88" s="37">
        <f>893+43</f>
        <v>936</v>
      </c>
      <c r="S88" s="34">
        <f t="shared" si="23"/>
        <v>5322</v>
      </c>
      <c r="T88" s="37">
        <v>5154</v>
      </c>
      <c r="U88" s="37">
        <v>168</v>
      </c>
    </row>
    <row r="89" spans="1:21" ht="15" customHeight="1">
      <c r="A89" s="9" t="s">
        <v>3</v>
      </c>
      <c r="C89" s="32"/>
      <c r="D89" s="86"/>
      <c r="E89" s="86"/>
      <c r="G89" s="34">
        <f t="shared" si="20"/>
        <v>0</v>
      </c>
      <c r="H89" s="28">
        <v>0</v>
      </c>
      <c r="I89" s="28">
        <v>0</v>
      </c>
      <c r="K89" s="34">
        <f t="shared" si="21"/>
        <v>0</v>
      </c>
      <c r="L89" s="28">
        <v>0</v>
      </c>
      <c r="M89" s="28">
        <v>0</v>
      </c>
      <c r="O89" s="34">
        <f t="shared" si="22"/>
        <v>0</v>
      </c>
      <c r="P89" s="28">
        <v>0</v>
      </c>
      <c r="Q89" s="28">
        <f>0</f>
        <v>0</v>
      </c>
      <c r="S89" s="34">
        <f t="shared" si="23"/>
        <v>0</v>
      </c>
      <c r="T89" s="28">
        <v>0</v>
      </c>
      <c r="U89" s="28">
        <v>0</v>
      </c>
    </row>
    <row r="90" spans="1:21" ht="15" customHeight="1">
      <c r="A90" s="9" t="s">
        <v>1</v>
      </c>
      <c r="C90" s="32"/>
      <c r="D90" s="86"/>
      <c r="E90" s="86"/>
      <c r="G90" s="34">
        <f t="shared" si="20"/>
        <v>0</v>
      </c>
      <c r="H90" s="28">
        <v>0</v>
      </c>
      <c r="I90" s="28">
        <v>0</v>
      </c>
      <c r="K90" s="34">
        <f t="shared" si="21"/>
        <v>0</v>
      </c>
      <c r="L90" s="28">
        <v>0</v>
      </c>
      <c r="M90" s="28">
        <v>0</v>
      </c>
      <c r="O90" s="34">
        <f t="shared" si="22"/>
        <v>0</v>
      </c>
      <c r="P90" s="28">
        <v>0</v>
      </c>
      <c r="Q90" s="28">
        <v>0</v>
      </c>
      <c r="S90" s="34">
        <f t="shared" si="23"/>
        <v>0</v>
      </c>
      <c r="T90" s="28">
        <v>0</v>
      </c>
      <c r="U90" s="28">
        <v>0</v>
      </c>
    </row>
    <row r="91" spans="1:21" s="28" customFormat="1" ht="15" customHeight="1">
      <c r="A91" s="9" t="s">
        <v>19</v>
      </c>
      <c r="B91" s="20"/>
      <c r="C91" s="34">
        <f>+D91+E91</f>
        <v>34487</v>
      </c>
      <c r="D91" s="20">
        <v>34487</v>
      </c>
      <c r="E91" s="20">
        <v>0</v>
      </c>
      <c r="G91" s="34">
        <f>+H91+I91</f>
        <v>11571</v>
      </c>
      <c r="H91" s="28">
        <v>9925</v>
      </c>
      <c r="I91" s="28">
        <v>1646</v>
      </c>
      <c r="K91" s="34">
        <f>+L91+M91</f>
        <v>12567</v>
      </c>
      <c r="L91" s="28">
        <v>10671</v>
      </c>
      <c r="M91" s="28">
        <f>1896</f>
        <v>1896</v>
      </c>
      <c r="O91" s="34">
        <f>+P91+Q91</f>
        <v>13789</v>
      </c>
      <c r="P91" s="37">
        <v>11892</v>
      </c>
      <c r="Q91" s="37">
        <f>0+1897</f>
        <v>1897</v>
      </c>
      <c r="S91" s="34">
        <f t="shared" si="23"/>
        <v>12009</v>
      </c>
      <c r="T91" s="37">
        <v>10111</v>
      </c>
      <c r="U91" s="37">
        <v>1898</v>
      </c>
    </row>
    <row r="92" spans="1:5" ht="15" customHeight="1">
      <c r="A92" s="14"/>
      <c r="B92" s="22"/>
      <c r="C92" s="22"/>
      <c r="D92" s="22"/>
      <c r="E92" s="22"/>
    </row>
    <row r="93" spans="1:21" ht="18" customHeight="1">
      <c r="A93" s="7" t="s">
        <v>68</v>
      </c>
      <c r="C93" s="32">
        <f>SUM(C94:C100)</f>
        <v>64888</v>
      </c>
      <c r="D93" s="32">
        <f>SUM(D94:D100)</f>
        <v>49649</v>
      </c>
      <c r="E93" s="32">
        <f>SUM(E94:E100)</f>
        <v>15239</v>
      </c>
      <c r="G93" s="32">
        <f>SUM(G94:G100)</f>
        <v>58898</v>
      </c>
      <c r="H93" s="32">
        <f>SUM(H94:H100)</f>
        <v>44985</v>
      </c>
      <c r="I93" s="32">
        <f>SUM(I94:I100)</f>
        <v>13913</v>
      </c>
      <c r="K93" s="32">
        <f>SUM(K94:K100)</f>
        <v>61612</v>
      </c>
      <c r="L93" s="32">
        <f>SUM(L94:L100)</f>
        <v>44671</v>
      </c>
      <c r="M93" s="32">
        <f>SUM(M94:M100)</f>
        <v>16941</v>
      </c>
      <c r="O93" s="32">
        <f>SUM(O94:O100)</f>
        <v>47466</v>
      </c>
      <c r="P93" s="32">
        <f>SUM(P94:P100)</f>
        <v>30076</v>
      </c>
      <c r="Q93" s="32">
        <f>SUM(Q94:Q100)</f>
        <v>17390</v>
      </c>
      <c r="S93" s="32">
        <f>SUM(S94:S100)</f>
        <v>42401</v>
      </c>
      <c r="T93" s="32">
        <f>SUM(T94:T100)</f>
        <v>24536</v>
      </c>
      <c r="U93" s="32">
        <f>SUM(U94:U100)</f>
        <v>17865</v>
      </c>
    </row>
    <row r="94" spans="1:21" s="28" customFormat="1" ht="15" customHeight="1">
      <c r="A94" s="9" t="s">
        <v>4</v>
      </c>
      <c r="B94" s="25"/>
      <c r="C94" s="34">
        <f aca="true" t="shared" si="24" ref="C94:C100">+D94+E94</f>
        <v>25367</v>
      </c>
      <c r="D94" s="82">
        <v>14552</v>
      </c>
      <c r="E94" s="82">
        <v>10815</v>
      </c>
      <c r="G94" s="34">
        <f aca="true" t="shared" si="25" ref="G94:G100">+H94+I94</f>
        <v>25359</v>
      </c>
      <c r="H94" s="28">
        <v>13253</v>
      </c>
      <c r="I94" s="28">
        <f>12073+33</f>
        <v>12106</v>
      </c>
      <c r="K94" s="34">
        <f aca="true" t="shared" si="26" ref="K94:K100">+L94+M94</f>
        <v>23513</v>
      </c>
      <c r="L94" s="28">
        <v>10730</v>
      </c>
      <c r="M94" s="28">
        <f>12773+10</f>
        <v>12783</v>
      </c>
      <c r="O94" s="34">
        <f aca="true" t="shared" si="27" ref="O94:O100">+P94+Q94</f>
        <v>33700</v>
      </c>
      <c r="P94" s="37">
        <v>19747</v>
      </c>
      <c r="Q94" s="37">
        <f>13948+5</f>
        <v>13953</v>
      </c>
      <c r="S94" s="34">
        <f aca="true" t="shared" si="28" ref="S94:S100">+T94+U94</f>
        <v>32182</v>
      </c>
      <c r="T94" s="37">
        <v>16344</v>
      </c>
      <c r="U94" s="37">
        <f>15837+1</f>
        <v>15838</v>
      </c>
    </row>
    <row r="95" spans="1:21" s="24" customFormat="1" ht="15" customHeight="1">
      <c r="A95" s="9" t="s">
        <v>0</v>
      </c>
      <c r="B95" s="23"/>
      <c r="C95" s="34">
        <f t="shared" si="24"/>
        <v>1704</v>
      </c>
      <c r="D95" s="82">
        <v>1558</v>
      </c>
      <c r="E95" s="82">
        <v>146</v>
      </c>
      <c r="G95" s="34">
        <f t="shared" si="25"/>
        <v>1751</v>
      </c>
      <c r="H95" s="28">
        <v>1534</v>
      </c>
      <c r="I95" s="28">
        <v>217</v>
      </c>
      <c r="K95" s="34">
        <f t="shared" si="26"/>
        <v>2323</v>
      </c>
      <c r="L95" s="28">
        <v>1607</v>
      </c>
      <c r="M95" s="28">
        <f>716</f>
        <v>716</v>
      </c>
      <c r="O95" s="34">
        <f t="shared" si="27"/>
        <v>1905</v>
      </c>
      <c r="P95" s="37">
        <v>1712</v>
      </c>
      <c r="Q95" s="37">
        <f>193+0</f>
        <v>193</v>
      </c>
      <c r="S95" s="34">
        <f t="shared" si="28"/>
        <v>1875</v>
      </c>
      <c r="T95" s="37">
        <v>1678</v>
      </c>
      <c r="U95" s="37">
        <f>190+7</f>
        <v>197</v>
      </c>
    </row>
    <row r="96" spans="1:21" s="24" customFormat="1" ht="15" customHeight="1">
      <c r="A96" s="9" t="s">
        <v>9</v>
      </c>
      <c r="B96" s="23"/>
      <c r="C96" s="34">
        <f t="shared" si="24"/>
        <v>13</v>
      </c>
      <c r="D96" s="82">
        <v>13</v>
      </c>
      <c r="E96" s="82">
        <v>0</v>
      </c>
      <c r="G96" s="34">
        <f t="shared" si="25"/>
        <v>0</v>
      </c>
      <c r="H96" s="28">
        <v>0</v>
      </c>
      <c r="I96" s="28">
        <v>0</v>
      </c>
      <c r="K96" s="34">
        <f t="shared" si="26"/>
        <v>1</v>
      </c>
      <c r="L96" s="28">
        <v>1</v>
      </c>
      <c r="M96" s="28">
        <v>0</v>
      </c>
      <c r="O96" s="34">
        <f t="shared" si="27"/>
        <v>0</v>
      </c>
      <c r="P96" s="28">
        <v>0</v>
      </c>
      <c r="Q96" s="28">
        <v>0</v>
      </c>
      <c r="S96" s="34">
        <f t="shared" si="28"/>
        <v>0</v>
      </c>
      <c r="T96" s="28">
        <v>0</v>
      </c>
      <c r="U96" s="28">
        <v>0</v>
      </c>
    </row>
    <row r="97" spans="1:21" s="24" customFormat="1" ht="15" customHeight="1">
      <c r="A97" s="9" t="s">
        <v>2</v>
      </c>
      <c r="B97" s="23"/>
      <c r="C97" s="34">
        <f t="shared" si="24"/>
        <v>36862</v>
      </c>
      <c r="D97" s="82">
        <v>32608</v>
      </c>
      <c r="E97" s="82">
        <v>4254</v>
      </c>
      <c r="G97" s="34">
        <f t="shared" si="25"/>
        <v>30818</v>
      </c>
      <c r="H97" s="28">
        <v>29370</v>
      </c>
      <c r="I97" s="28">
        <f>1447+1</f>
        <v>1448</v>
      </c>
      <c r="K97" s="34">
        <f t="shared" si="26"/>
        <v>34634</v>
      </c>
      <c r="L97" s="28">
        <v>31482</v>
      </c>
      <c r="M97" s="28">
        <f>3135+17</f>
        <v>3152</v>
      </c>
      <c r="O97" s="34">
        <f t="shared" si="27"/>
        <v>10686</v>
      </c>
      <c r="P97" s="37">
        <v>7632</v>
      </c>
      <c r="Q97" s="37">
        <f>3035+19</f>
        <v>3054</v>
      </c>
      <c r="S97" s="34">
        <f t="shared" si="28"/>
        <v>7259</v>
      </c>
      <c r="T97" s="37">
        <v>5635</v>
      </c>
      <c r="U97" s="37">
        <v>1624</v>
      </c>
    </row>
    <row r="98" spans="1:21" s="24" customFormat="1" ht="15" customHeight="1">
      <c r="A98" s="9" t="s">
        <v>3</v>
      </c>
      <c r="B98" s="23"/>
      <c r="C98" s="34">
        <f t="shared" si="24"/>
        <v>303</v>
      </c>
      <c r="D98" s="82">
        <v>292</v>
      </c>
      <c r="E98" s="82">
        <v>11</v>
      </c>
      <c r="G98" s="34">
        <f t="shared" si="25"/>
        <v>309</v>
      </c>
      <c r="H98" s="28">
        <v>308</v>
      </c>
      <c r="I98" s="28">
        <v>1</v>
      </c>
      <c r="K98" s="34">
        <f t="shared" si="26"/>
        <v>360</v>
      </c>
      <c r="L98" s="28">
        <v>358</v>
      </c>
      <c r="M98" s="28">
        <f>2</f>
        <v>2</v>
      </c>
      <c r="O98" s="34">
        <f t="shared" si="27"/>
        <v>423</v>
      </c>
      <c r="P98" s="37">
        <v>422</v>
      </c>
      <c r="Q98" s="37">
        <f>1+0</f>
        <v>1</v>
      </c>
      <c r="S98" s="34">
        <f t="shared" si="28"/>
        <v>110</v>
      </c>
      <c r="T98" s="37">
        <v>94</v>
      </c>
      <c r="U98" s="37">
        <v>16</v>
      </c>
    </row>
    <row r="99" spans="1:21" s="24" customFormat="1" ht="15" customHeight="1">
      <c r="A99" s="9" t="s">
        <v>1</v>
      </c>
      <c r="B99" s="23"/>
      <c r="C99" s="34">
        <f t="shared" si="24"/>
        <v>630</v>
      </c>
      <c r="D99" s="82">
        <v>621</v>
      </c>
      <c r="E99" s="82">
        <v>9</v>
      </c>
      <c r="G99" s="34">
        <f t="shared" si="25"/>
        <v>648</v>
      </c>
      <c r="H99" s="28">
        <v>520</v>
      </c>
      <c r="I99" s="28">
        <v>128</v>
      </c>
      <c r="K99" s="34">
        <f t="shared" si="26"/>
        <v>758</v>
      </c>
      <c r="L99" s="28">
        <v>493</v>
      </c>
      <c r="M99" s="28">
        <f>265</f>
        <v>265</v>
      </c>
      <c r="O99" s="34">
        <f t="shared" si="27"/>
        <v>729</v>
      </c>
      <c r="P99" s="37">
        <v>563</v>
      </c>
      <c r="Q99" s="37">
        <f>166+0</f>
        <v>166</v>
      </c>
      <c r="S99" s="34">
        <f t="shared" si="28"/>
        <v>952</v>
      </c>
      <c r="T99" s="37">
        <v>785</v>
      </c>
      <c r="U99" s="37">
        <v>167</v>
      </c>
    </row>
    <row r="100" spans="1:21" s="24" customFormat="1" ht="15" customHeight="1">
      <c r="A100" s="9" t="s">
        <v>19</v>
      </c>
      <c r="B100" s="23"/>
      <c r="C100" s="34">
        <f t="shared" si="24"/>
        <v>9</v>
      </c>
      <c r="D100" s="82">
        <f>0+5</f>
        <v>5</v>
      </c>
      <c r="E100" s="82">
        <f>4+0</f>
        <v>4</v>
      </c>
      <c r="G100" s="34">
        <f t="shared" si="25"/>
        <v>13</v>
      </c>
      <c r="H100" s="28">
        <v>0</v>
      </c>
      <c r="I100" s="28">
        <v>13</v>
      </c>
      <c r="K100" s="34">
        <f t="shared" si="26"/>
        <v>23</v>
      </c>
      <c r="L100" s="28">
        <v>0</v>
      </c>
      <c r="M100" s="28">
        <f>23</f>
        <v>23</v>
      </c>
      <c r="O100" s="34">
        <f t="shared" si="27"/>
        <v>23</v>
      </c>
      <c r="P100" s="28">
        <v>0</v>
      </c>
      <c r="Q100" s="37">
        <f>0+23</f>
        <v>23</v>
      </c>
      <c r="S100" s="34">
        <f t="shared" si="28"/>
        <v>23</v>
      </c>
      <c r="T100" s="28">
        <v>0</v>
      </c>
      <c r="U100" s="37">
        <v>23</v>
      </c>
    </row>
    <row r="101" spans="2:17" ht="15" customHeight="1">
      <c r="B101" s="21"/>
      <c r="C101" s="21"/>
      <c r="D101" s="21"/>
      <c r="E101" s="21"/>
      <c r="F101" s="21"/>
      <c r="G101" s="21"/>
      <c r="H101" s="21"/>
      <c r="I101" s="21"/>
      <c r="K101" s="21"/>
      <c r="L101" s="21"/>
      <c r="M101" s="21"/>
      <c r="O101" s="21"/>
      <c r="P101" s="21"/>
      <c r="Q101" s="21"/>
    </row>
    <row r="102" ht="15" customHeight="1">
      <c r="A102" s="13" t="s">
        <v>14</v>
      </c>
    </row>
    <row r="103" s="30" customFormat="1" ht="15" customHeight="1">
      <c r="A103" s="15" t="s">
        <v>15</v>
      </c>
    </row>
    <row r="104" s="30" customFormat="1" ht="15" customHeight="1">
      <c r="A104" s="16" t="s">
        <v>16</v>
      </c>
    </row>
    <row r="105" ht="15" customHeight="1">
      <c r="A105" s="16" t="s">
        <v>67</v>
      </c>
    </row>
    <row r="106" ht="15" customHeight="1">
      <c r="A106" s="15" t="s">
        <v>77</v>
      </c>
    </row>
    <row r="107" ht="15" customHeight="1">
      <c r="A107" s="15" t="s">
        <v>75</v>
      </c>
    </row>
    <row r="108" ht="15" customHeight="1">
      <c r="A108" s="15"/>
    </row>
    <row r="109" ht="15" customHeight="1">
      <c r="A109" s="3" t="s">
        <v>83</v>
      </c>
    </row>
  </sheetData>
  <sheetProtection/>
  <mergeCells count="12">
    <mergeCell ref="G6:I6"/>
    <mergeCell ref="G55:I55"/>
    <mergeCell ref="K6:M6"/>
    <mergeCell ref="K55:M55"/>
    <mergeCell ref="S6:U6"/>
    <mergeCell ref="S55:U55"/>
    <mergeCell ref="B3:U3"/>
    <mergeCell ref="B4:U4"/>
    <mergeCell ref="O6:Q6"/>
    <mergeCell ref="O55:Q55"/>
    <mergeCell ref="C6:E6"/>
    <mergeCell ref="C55:E55"/>
  </mergeCells>
  <printOptions/>
  <pageMargins left="0.25" right="0.25" top="0.75" bottom="0.75" header="0.3" footer="0.3"/>
  <pageSetup horizontalDpi="600" verticalDpi="600" orientation="landscape" paperSize="5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K108"/>
  <sheetViews>
    <sheetView tabSelected="1" zoomScalePageLayoutView="0" workbookViewId="0" topLeftCell="A1">
      <pane xSplit="1" topLeftCell="W1" activePane="topRight" state="frozen"/>
      <selection pane="topLeft" activeCell="A1" sqref="A1"/>
      <selection pane="topRight" activeCell="AJ1" sqref="AJ1"/>
    </sheetView>
  </sheetViews>
  <sheetFormatPr defaultColWidth="8.7109375" defaultRowHeight="15" customHeight="1"/>
  <cols>
    <col min="1" max="1" width="76.57421875" style="3" customWidth="1"/>
    <col min="2" max="2" width="2.7109375" style="3" customWidth="1"/>
    <col min="3" max="5" width="14.7109375" style="3" customWidth="1"/>
    <col min="6" max="6" width="2.7109375" style="3" customWidth="1"/>
    <col min="7" max="9" width="14.7109375" style="3" customWidth="1"/>
    <col min="10" max="10" width="2.7109375" style="3" customWidth="1"/>
    <col min="11" max="13" width="14.7109375" style="3" customWidth="1"/>
    <col min="14" max="14" width="2.7109375" style="3" customWidth="1"/>
    <col min="15" max="17" width="14.7109375" style="3" customWidth="1"/>
    <col min="18" max="18" width="2.7109375" style="3" customWidth="1"/>
    <col min="19" max="21" width="14.7109375" style="3" customWidth="1"/>
    <col min="22" max="22" width="2.7109375" style="3" customWidth="1"/>
    <col min="23" max="25" width="14.7109375" style="3" customWidth="1"/>
    <col min="26" max="26" width="2.7109375" style="3" customWidth="1"/>
    <col min="27" max="29" width="14.7109375" style="3" customWidth="1"/>
    <col min="30" max="30" width="2.7109375" style="3" customWidth="1"/>
    <col min="31" max="33" width="14.7109375" style="3" customWidth="1"/>
    <col min="34" max="34" width="2.7109375" style="3" customWidth="1"/>
    <col min="35" max="37" width="14.7109375" style="3" customWidth="1"/>
    <col min="38" max="38" width="2.7109375" style="3" customWidth="1"/>
    <col min="39" max="41" width="14.7109375" style="3" customWidth="1"/>
    <col min="42" max="42" width="2.7109375" style="3" customWidth="1"/>
    <col min="43" max="45" width="14.7109375" style="3" customWidth="1"/>
    <col min="46" max="16384" width="8.7109375" style="3" customWidth="1"/>
  </cols>
  <sheetData>
    <row r="3" spans="2:37" ht="15" customHeight="1">
      <c r="B3" s="92" t="s">
        <v>10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2:37" ht="15" customHeight="1">
      <c r="B4" s="93" t="s">
        <v>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</row>
    <row r="6" spans="1:37" ht="15" customHeight="1">
      <c r="A6" s="4"/>
      <c r="C6" s="89" t="s">
        <v>78</v>
      </c>
      <c r="D6" s="89"/>
      <c r="E6" s="89"/>
      <c r="G6" s="89" t="s">
        <v>79</v>
      </c>
      <c r="H6" s="89"/>
      <c r="I6" s="89"/>
      <c r="K6" s="89" t="s">
        <v>80</v>
      </c>
      <c r="L6" s="89"/>
      <c r="M6" s="89"/>
      <c r="O6" s="89" t="s">
        <v>81</v>
      </c>
      <c r="P6" s="89"/>
      <c r="Q6" s="89"/>
      <c r="S6" s="89" t="s">
        <v>82</v>
      </c>
      <c r="T6" s="89"/>
      <c r="U6" s="89"/>
      <c r="W6" s="89" t="s">
        <v>84</v>
      </c>
      <c r="X6" s="89"/>
      <c r="Y6" s="89"/>
      <c r="AA6" s="89" t="s">
        <v>85</v>
      </c>
      <c r="AB6" s="89"/>
      <c r="AC6" s="89"/>
      <c r="AE6" s="89" t="s">
        <v>86</v>
      </c>
      <c r="AF6" s="89"/>
      <c r="AG6" s="89"/>
      <c r="AI6" s="89" t="s">
        <v>88</v>
      </c>
      <c r="AJ6" s="89"/>
      <c r="AK6" s="89"/>
    </row>
    <row r="7" spans="3:37" ht="15" customHeight="1" thickBot="1">
      <c r="C7" s="1" t="s">
        <v>5</v>
      </c>
      <c r="D7" s="1" t="s">
        <v>8</v>
      </c>
      <c r="E7" s="1" t="s">
        <v>7</v>
      </c>
      <c r="G7" s="1" t="s">
        <v>5</v>
      </c>
      <c r="H7" s="1" t="s">
        <v>8</v>
      </c>
      <c r="I7" s="1" t="s">
        <v>7</v>
      </c>
      <c r="K7" s="1" t="s">
        <v>5</v>
      </c>
      <c r="L7" s="1" t="s">
        <v>8</v>
      </c>
      <c r="M7" s="1" t="s">
        <v>7</v>
      </c>
      <c r="O7" s="1" t="s">
        <v>5</v>
      </c>
      <c r="P7" s="1" t="s">
        <v>8</v>
      </c>
      <c r="Q7" s="1" t="s">
        <v>7</v>
      </c>
      <c r="S7" s="1" t="s">
        <v>5</v>
      </c>
      <c r="T7" s="1" t="s">
        <v>8</v>
      </c>
      <c r="U7" s="1" t="s">
        <v>7</v>
      </c>
      <c r="W7" s="1" t="s">
        <v>5</v>
      </c>
      <c r="X7" s="1" t="s">
        <v>8</v>
      </c>
      <c r="Y7" s="1" t="s">
        <v>7</v>
      </c>
      <c r="AA7" s="1" t="s">
        <v>5</v>
      </c>
      <c r="AB7" s="1" t="s">
        <v>8</v>
      </c>
      <c r="AC7" s="1" t="s">
        <v>7</v>
      </c>
      <c r="AE7" s="1" t="s">
        <v>5</v>
      </c>
      <c r="AF7" s="1" t="s">
        <v>8</v>
      </c>
      <c r="AG7" s="1" t="s">
        <v>7</v>
      </c>
      <c r="AI7" s="1" t="s">
        <v>5</v>
      </c>
      <c r="AJ7" s="1" t="s">
        <v>8</v>
      </c>
      <c r="AK7" s="1" t="s">
        <v>7</v>
      </c>
    </row>
    <row r="8" spans="1:37" ht="18" customHeight="1" thickTop="1">
      <c r="A8" s="5" t="s">
        <v>50</v>
      </c>
      <c r="B8" s="17"/>
      <c r="C8" s="31">
        <f>C10+C14</f>
        <v>606890</v>
      </c>
      <c r="D8" s="31">
        <f>D10+D14</f>
        <v>367966</v>
      </c>
      <c r="E8" s="31">
        <f>E10+E14</f>
        <v>238924</v>
      </c>
      <c r="G8" s="31">
        <f>G10+G14</f>
        <v>585788</v>
      </c>
      <c r="H8" s="31">
        <f>H10+H14</f>
        <v>348939</v>
      </c>
      <c r="I8" s="31">
        <f>I10+I14</f>
        <v>236849</v>
      </c>
      <c r="K8" s="31">
        <f>K10+K14</f>
        <v>553461</v>
      </c>
      <c r="L8" s="31">
        <f>L10+L14</f>
        <v>318510</v>
      </c>
      <c r="M8" s="31">
        <f>M10+M14</f>
        <v>234951</v>
      </c>
      <c r="O8" s="31">
        <f>O10+O14</f>
        <v>520991</v>
      </c>
      <c r="P8" s="31">
        <f>P10+P14</f>
        <v>294275</v>
      </c>
      <c r="Q8" s="31">
        <f>Q10+Q14</f>
        <v>226716</v>
      </c>
      <c r="S8" s="31">
        <f>S10+S14</f>
        <v>538425</v>
      </c>
      <c r="T8" s="31">
        <f>T10+T14</f>
        <v>312523</v>
      </c>
      <c r="U8" s="31">
        <f>U10+U14</f>
        <v>225902</v>
      </c>
      <c r="W8" s="31">
        <f>W10+W14</f>
        <v>523300</v>
      </c>
      <c r="X8" s="31">
        <f>X10+X14</f>
        <v>300788</v>
      </c>
      <c r="Y8" s="31">
        <f>Y10+Y14</f>
        <v>222512</v>
      </c>
      <c r="AA8" s="31">
        <f>AA10+AA14</f>
        <v>510996</v>
      </c>
      <c r="AB8" s="31">
        <f>AB10+AB14</f>
        <v>301600</v>
      </c>
      <c r="AC8" s="31">
        <f>AC10+AC14</f>
        <v>209396</v>
      </c>
      <c r="AE8" s="31">
        <f>AE10+AE14</f>
        <v>489298</v>
      </c>
      <c r="AF8" s="31">
        <f>AF10+AF14</f>
        <v>294801</v>
      </c>
      <c r="AG8" s="31">
        <f>AG10+AG14</f>
        <v>194497</v>
      </c>
      <c r="AI8" s="31">
        <f>AI10+AI14</f>
        <v>474003</v>
      </c>
      <c r="AJ8" s="31">
        <f>AJ10+AJ14</f>
        <v>288689</v>
      </c>
      <c r="AK8" s="31">
        <f>AK10+AK14</f>
        <v>185314</v>
      </c>
    </row>
    <row r="9" spans="1:2" ht="12" customHeight="1">
      <c r="A9" s="6"/>
      <c r="B9" s="18"/>
    </row>
    <row r="10" spans="1:37" ht="15" customHeight="1">
      <c r="A10" s="7" t="s">
        <v>43</v>
      </c>
      <c r="B10" s="19"/>
      <c r="C10" s="32">
        <f>C24+C19</f>
        <v>604427</v>
      </c>
      <c r="D10" s="32">
        <f>D24+D19</f>
        <v>367891</v>
      </c>
      <c r="E10" s="32">
        <f>E24+E19</f>
        <v>236536</v>
      </c>
      <c r="G10" s="32">
        <f>G24+G19</f>
        <v>583249</v>
      </c>
      <c r="H10" s="32">
        <f>H24+H19</f>
        <v>348857</v>
      </c>
      <c r="I10" s="32">
        <f>I24+I19</f>
        <v>234392</v>
      </c>
      <c r="K10" s="32">
        <f>K24+K19</f>
        <v>550873</v>
      </c>
      <c r="L10" s="32">
        <f>L24+L19</f>
        <v>318443</v>
      </c>
      <c r="M10" s="32">
        <f>M24+M19</f>
        <v>232430</v>
      </c>
      <c r="O10" s="32">
        <f>O24+O19</f>
        <v>518317</v>
      </c>
      <c r="P10" s="32">
        <f>P24+P19</f>
        <v>294192</v>
      </c>
      <c r="Q10" s="32">
        <f>Q24+Q19</f>
        <v>224125</v>
      </c>
      <c r="S10" s="32">
        <f>S24+S19</f>
        <v>535739</v>
      </c>
      <c r="T10" s="32">
        <f>T24+T19</f>
        <v>312455</v>
      </c>
      <c r="U10" s="32">
        <f>U24+U19</f>
        <v>223284</v>
      </c>
      <c r="W10" s="32">
        <f>W24+W19</f>
        <v>520552</v>
      </c>
      <c r="X10" s="32">
        <f>X24+X19</f>
        <v>300722</v>
      </c>
      <c r="Y10" s="32">
        <f>Y24+Y19</f>
        <v>219830</v>
      </c>
      <c r="AA10" s="32">
        <f>AA24+AA19</f>
        <v>508241</v>
      </c>
      <c r="AB10" s="32">
        <f>AB24+AB19</f>
        <v>301546</v>
      </c>
      <c r="AC10" s="32">
        <f>AC24+AC19</f>
        <v>206695</v>
      </c>
      <c r="AE10" s="32">
        <f>AE24+AE19</f>
        <v>486699</v>
      </c>
      <c r="AF10" s="32">
        <f>AF24+AF19</f>
        <v>294741</v>
      </c>
      <c r="AG10" s="32">
        <f>AG24+AG19</f>
        <v>191958</v>
      </c>
      <c r="AI10" s="32">
        <f>AI24+AI19</f>
        <v>471264</v>
      </c>
      <c r="AJ10" s="32">
        <f>AJ24+AJ19</f>
        <v>288637</v>
      </c>
      <c r="AK10" s="32">
        <f>AK24+AK19</f>
        <v>182627</v>
      </c>
    </row>
    <row r="11" spans="1:37" ht="15" customHeight="1">
      <c r="A11" s="8" t="s">
        <v>52</v>
      </c>
      <c r="B11" s="20"/>
      <c r="C11" s="37">
        <f>D11+E11</f>
        <v>15772</v>
      </c>
      <c r="D11" s="37">
        <f>D19</f>
        <v>1801</v>
      </c>
      <c r="E11" s="37">
        <f>E19</f>
        <v>13971</v>
      </c>
      <c r="G11" s="37">
        <f>H11+I11</f>
        <v>16693</v>
      </c>
      <c r="H11" s="37">
        <f>H19</f>
        <v>2858</v>
      </c>
      <c r="I11" s="37">
        <f>I19</f>
        <v>13835</v>
      </c>
      <c r="K11" s="37">
        <f>L11+M11</f>
        <v>15360</v>
      </c>
      <c r="L11" s="37">
        <f>L19</f>
        <v>1635</v>
      </c>
      <c r="M11" s="37">
        <f>M19</f>
        <v>13725</v>
      </c>
      <c r="O11" s="37">
        <f>P11+Q11</f>
        <v>15338</v>
      </c>
      <c r="P11" s="37">
        <f>P19</f>
        <v>1062</v>
      </c>
      <c r="Q11" s="37">
        <f>Q19</f>
        <v>14276</v>
      </c>
      <c r="S11" s="37">
        <f>T11+U11</f>
        <v>16520</v>
      </c>
      <c r="T11" s="37">
        <f>T19</f>
        <v>1444</v>
      </c>
      <c r="U11" s="37">
        <f>U19</f>
        <v>15076</v>
      </c>
      <c r="W11" s="37">
        <f>X11+Y11</f>
        <v>15486</v>
      </c>
      <c r="X11" s="37">
        <f>X19</f>
        <v>1474</v>
      </c>
      <c r="Y11" s="37">
        <f>Y19</f>
        <v>14012</v>
      </c>
      <c r="AA11" s="37">
        <f>AB11+AC11</f>
        <v>14306</v>
      </c>
      <c r="AB11" s="37">
        <f>AB19</f>
        <v>1041</v>
      </c>
      <c r="AC11" s="37">
        <f>AC19</f>
        <v>13265</v>
      </c>
      <c r="AE11" s="37">
        <f>AF11+AG11</f>
        <v>14155</v>
      </c>
      <c r="AF11" s="37">
        <f>AF19</f>
        <v>919</v>
      </c>
      <c r="AG11" s="37">
        <f>AG19</f>
        <v>13236</v>
      </c>
      <c r="AI11" s="37">
        <f>AJ11+AK11</f>
        <v>12261</v>
      </c>
      <c r="AJ11" s="37">
        <f>AJ19</f>
        <v>1222</v>
      </c>
      <c r="AK11" s="37">
        <f>AK19</f>
        <v>11039</v>
      </c>
    </row>
    <row r="12" spans="1:37" ht="15" customHeight="1">
      <c r="A12" s="8" t="s">
        <v>55</v>
      </c>
      <c r="B12" s="21"/>
      <c r="C12" s="37">
        <f>D12+E12</f>
        <v>588655</v>
      </c>
      <c r="D12" s="37">
        <f>D24</f>
        <v>366090</v>
      </c>
      <c r="E12" s="37">
        <f>E24</f>
        <v>222565</v>
      </c>
      <c r="G12" s="37">
        <f>H12+I12</f>
        <v>566556</v>
      </c>
      <c r="H12" s="37">
        <f>H24</f>
        <v>345999</v>
      </c>
      <c r="I12" s="37">
        <f>I24</f>
        <v>220557</v>
      </c>
      <c r="K12" s="37">
        <f>L12+M12</f>
        <v>535513</v>
      </c>
      <c r="L12" s="37">
        <f>L24</f>
        <v>316808</v>
      </c>
      <c r="M12" s="37">
        <f>M24</f>
        <v>218705</v>
      </c>
      <c r="O12" s="37">
        <f>P12+Q12</f>
        <v>502979</v>
      </c>
      <c r="P12" s="37">
        <f>P24</f>
        <v>293130</v>
      </c>
      <c r="Q12" s="37">
        <f>Q24</f>
        <v>209849</v>
      </c>
      <c r="S12" s="37">
        <f>T12+U12</f>
        <v>519219</v>
      </c>
      <c r="T12" s="37">
        <f>T24</f>
        <v>311011</v>
      </c>
      <c r="U12" s="37">
        <f>U24</f>
        <v>208208</v>
      </c>
      <c r="W12" s="37">
        <f>X12+Y12</f>
        <v>505066</v>
      </c>
      <c r="X12" s="37">
        <f>X24</f>
        <v>299248</v>
      </c>
      <c r="Y12" s="37">
        <f>Y24</f>
        <v>205818</v>
      </c>
      <c r="AA12" s="37">
        <f>AB12+AC12</f>
        <v>493935</v>
      </c>
      <c r="AB12" s="37">
        <f>AB24</f>
        <v>300505</v>
      </c>
      <c r="AC12" s="37">
        <f>AC24</f>
        <v>193430</v>
      </c>
      <c r="AE12" s="37">
        <f>AF12+AG12</f>
        <v>472544</v>
      </c>
      <c r="AF12" s="37">
        <f>AF24</f>
        <v>293822</v>
      </c>
      <c r="AG12" s="37">
        <f>AG24</f>
        <v>178722</v>
      </c>
      <c r="AI12" s="37">
        <f>AJ12+AK12</f>
        <v>459003</v>
      </c>
      <c r="AJ12" s="37">
        <f>AJ24</f>
        <v>287415</v>
      </c>
      <c r="AK12" s="37">
        <f>AK24</f>
        <v>171588</v>
      </c>
    </row>
    <row r="13" ht="7.5" customHeight="1">
      <c r="A13" s="8"/>
    </row>
    <row r="14" spans="1:37" ht="15" customHeight="1">
      <c r="A14" s="7" t="s">
        <v>71</v>
      </c>
      <c r="B14" s="19"/>
      <c r="C14" s="33">
        <f>SUM(C15:C17)</f>
        <v>2463</v>
      </c>
      <c r="D14" s="33">
        <f>C14-E14</f>
        <v>75</v>
      </c>
      <c r="E14" s="33">
        <f>SUM(E15:E17)</f>
        <v>2388</v>
      </c>
      <c r="G14" s="33">
        <f>SUM(G15:G17)</f>
        <v>2539</v>
      </c>
      <c r="H14" s="33">
        <f>G14-I14</f>
        <v>82</v>
      </c>
      <c r="I14" s="33">
        <f>SUM(I15:I17)</f>
        <v>2457</v>
      </c>
      <c r="K14" s="33">
        <f>SUM(K15:K17)</f>
        <v>2588</v>
      </c>
      <c r="L14" s="33">
        <f>K14-M14</f>
        <v>67</v>
      </c>
      <c r="M14" s="33">
        <f>SUM(M15:M17)</f>
        <v>2521</v>
      </c>
      <c r="O14" s="33">
        <f>SUM(O15:O17)</f>
        <v>2674</v>
      </c>
      <c r="P14" s="33">
        <f>O14-Q14</f>
        <v>83</v>
      </c>
      <c r="Q14" s="33">
        <f>SUM(Q15:Q17)</f>
        <v>2591</v>
      </c>
      <c r="S14" s="33">
        <f>SUM(S15:S17)</f>
        <v>2686</v>
      </c>
      <c r="T14" s="33">
        <f>S14-U14</f>
        <v>68</v>
      </c>
      <c r="U14" s="33">
        <f>SUM(U15:U17)</f>
        <v>2618</v>
      </c>
      <c r="W14" s="33">
        <f>SUM(W15:W17)</f>
        <v>2748</v>
      </c>
      <c r="X14" s="33">
        <f>W14-Y14</f>
        <v>66</v>
      </c>
      <c r="Y14" s="33">
        <f>SUM(Y15:Y17)</f>
        <v>2682</v>
      </c>
      <c r="AA14" s="33">
        <f>SUM(AA15:AA17)</f>
        <v>2755</v>
      </c>
      <c r="AB14" s="33">
        <f>AA14-AC14</f>
        <v>54</v>
      </c>
      <c r="AC14" s="33">
        <f>SUM(AC15:AC17)</f>
        <v>2701</v>
      </c>
      <c r="AE14" s="33">
        <f>SUM(AE15:AE17)</f>
        <v>2599</v>
      </c>
      <c r="AF14" s="33">
        <f>AE14-AG14</f>
        <v>60</v>
      </c>
      <c r="AG14" s="33">
        <f>SUM(AG15:AG17)</f>
        <v>2539</v>
      </c>
      <c r="AI14" s="33">
        <f>SUM(AI15:AI17)</f>
        <v>2739</v>
      </c>
      <c r="AJ14" s="33">
        <f>AI14-AK14</f>
        <v>52</v>
      </c>
      <c r="AK14" s="33">
        <f>SUM(AK15:AK17)</f>
        <v>2687</v>
      </c>
    </row>
    <row r="15" spans="1:37" ht="15" customHeight="1">
      <c r="A15" s="9" t="s">
        <v>47</v>
      </c>
      <c r="B15" s="22"/>
      <c r="C15" s="34">
        <f>+D15+E15</f>
        <v>2433</v>
      </c>
      <c r="D15" s="37">
        <v>68</v>
      </c>
      <c r="E15" s="37">
        <f>2357+8</f>
        <v>2365</v>
      </c>
      <c r="G15" s="34">
        <f>+H15+I15</f>
        <v>2521</v>
      </c>
      <c r="H15" s="37">
        <v>76</v>
      </c>
      <c r="I15" s="37">
        <f>2439+6</f>
        <v>2445</v>
      </c>
      <c r="K15" s="34">
        <f>+L15+M15</f>
        <v>2564</v>
      </c>
      <c r="L15" s="37">
        <v>55</v>
      </c>
      <c r="M15" s="37">
        <f>2503+6</f>
        <v>2509</v>
      </c>
      <c r="O15" s="34">
        <f>+P15+Q15</f>
        <v>2655</v>
      </c>
      <c r="P15" s="37">
        <v>76</v>
      </c>
      <c r="Q15" s="37">
        <f>2573+6</f>
        <v>2579</v>
      </c>
      <c r="S15" s="34">
        <f>+T15+U15</f>
        <v>2660</v>
      </c>
      <c r="T15" s="37">
        <v>57</v>
      </c>
      <c r="U15" s="37">
        <f>2597+6</f>
        <v>2603</v>
      </c>
      <c r="W15" s="34">
        <f>+X15+Y15</f>
        <v>2728</v>
      </c>
      <c r="X15" s="37">
        <v>58</v>
      </c>
      <c r="Y15" s="37">
        <f>2660+10</f>
        <v>2670</v>
      </c>
      <c r="AA15" s="34">
        <f>+AB15+AC15</f>
        <v>2734</v>
      </c>
      <c r="AB15" s="37">
        <v>44</v>
      </c>
      <c r="AC15" s="37">
        <f>2675+15</f>
        <v>2690</v>
      </c>
      <c r="AE15" s="34">
        <f>+AF15+AG15</f>
        <v>2581</v>
      </c>
      <c r="AF15" s="37">
        <v>51</v>
      </c>
      <c r="AG15" s="37">
        <f>2521+9</f>
        <v>2530</v>
      </c>
      <c r="AI15" s="34">
        <f>+AJ15+AK15</f>
        <v>2722</v>
      </c>
      <c r="AJ15" s="37">
        <v>48</v>
      </c>
      <c r="AK15" s="37">
        <f>2662+12</f>
        <v>2674</v>
      </c>
    </row>
    <row r="16" spans="1:37" ht="15" customHeight="1">
      <c r="A16" s="9" t="s">
        <v>48</v>
      </c>
      <c r="B16" s="20"/>
      <c r="C16" s="34">
        <f>+D16+E16</f>
        <v>0</v>
      </c>
      <c r="D16" s="28">
        <v>0</v>
      </c>
      <c r="E16" s="28">
        <v>0</v>
      </c>
      <c r="G16" s="34">
        <f>+H16+I16</f>
        <v>0</v>
      </c>
      <c r="H16" s="28">
        <v>0</v>
      </c>
      <c r="I16" s="28">
        <v>0</v>
      </c>
      <c r="K16" s="34">
        <f>+L16+M16</f>
        <v>0</v>
      </c>
      <c r="L16" s="28">
        <v>0</v>
      </c>
      <c r="M16" s="28">
        <v>0</v>
      </c>
      <c r="O16" s="34">
        <f>+P16+Q16</f>
        <v>0</v>
      </c>
      <c r="P16" s="28">
        <v>0</v>
      </c>
      <c r="Q16" s="28">
        <v>0</v>
      </c>
      <c r="S16" s="34">
        <f>+T16+U16</f>
        <v>0</v>
      </c>
      <c r="T16" s="28">
        <v>0</v>
      </c>
      <c r="U16" s="28">
        <v>0</v>
      </c>
      <c r="W16" s="34">
        <f>+X16+Y16</f>
        <v>0</v>
      </c>
      <c r="X16" s="28">
        <v>0</v>
      </c>
      <c r="Y16" s="28">
        <v>0</v>
      </c>
      <c r="AA16" s="34">
        <f>+AB16+AC16</f>
        <v>0</v>
      </c>
      <c r="AB16" s="28">
        <v>0</v>
      </c>
      <c r="AC16" s="28">
        <v>0</v>
      </c>
      <c r="AE16" s="34">
        <f>+AF16+AG16</f>
        <v>0</v>
      </c>
      <c r="AF16" s="28">
        <v>0</v>
      </c>
      <c r="AG16" s="28">
        <v>0</v>
      </c>
      <c r="AI16" s="34">
        <f>+AJ16+AK16</f>
        <v>0</v>
      </c>
      <c r="AJ16" s="28">
        <v>0</v>
      </c>
      <c r="AK16" s="28">
        <v>0</v>
      </c>
    </row>
    <row r="17" spans="1:37" ht="15" customHeight="1">
      <c r="A17" s="9" t="s">
        <v>49</v>
      </c>
      <c r="B17" s="20"/>
      <c r="C17" s="34">
        <f>+D17+E17</f>
        <v>30</v>
      </c>
      <c r="D17" s="37">
        <v>7</v>
      </c>
      <c r="E17" s="37">
        <f>14+9</f>
        <v>23</v>
      </c>
      <c r="G17" s="34">
        <f>+H17+I17</f>
        <v>18</v>
      </c>
      <c r="H17" s="37">
        <v>6</v>
      </c>
      <c r="I17" s="37">
        <f>8+4</f>
        <v>12</v>
      </c>
      <c r="K17" s="34">
        <f>+L17+M17</f>
        <v>24</v>
      </c>
      <c r="L17" s="37">
        <v>12</v>
      </c>
      <c r="M17" s="37">
        <f>5+7</f>
        <v>12</v>
      </c>
      <c r="O17" s="34">
        <f>+P17+Q17</f>
        <v>19</v>
      </c>
      <c r="P17" s="37">
        <v>7</v>
      </c>
      <c r="Q17" s="37">
        <f>3+9</f>
        <v>12</v>
      </c>
      <c r="S17" s="34">
        <f>+T17+U17</f>
        <v>26</v>
      </c>
      <c r="T17" s="37">
        <v>11</v>
      </c>
      <c r="U17" s="37">
        <f>8+7</f>
        <v>15</v>
      </c>
      <c r="W17" s="34">
        <f>+X17+Y17</f>
        <v>20</v>
      </c>
      <c r="X17" s="37">
        <v>8</v>
      </c>
      <c r="Y17" s="37">
        <f>7+5</f>
        <v>12</v>
      </c>
      <c r="AA17" s="34">
        <f>+AB17+AC17</f>
        <v>21</v>
      </c>
      <c r="AB17" s="37">
        <v>10</v>
      </c>
      <c r="AC17" s="37">
        <f>6+5</f>
        <v>11</v>
      </c>
      <c r="AE17" s="34">
        <f>+AF17+AG17</f>
        <v>18</v>
      </c>
      <c r="AF17" s="37">
        <v>9</v>
      </c>
      <c r="AG17" s="37">
        <f>3+6</f>
        <v>9</v>
      </c>
      <c r="AI17" s="34">
        <f>+AJ17+AK17</f>
        <v>17</v>
      </c>
      <c r="AJ17" s="37">
        <v>4</v>
      </c>
      <c r="AK17" s="37">
        <f>8+5</f>
        <v>13</v>
      </c>
    </row>
    <row r="18" spans="1:37" ht="15" customHeight="1">
      <c r="A18" s="9"/>
      <c r="B18" s="19"/>
      <c r="C18" s="28"/>
      <c r="D18" s="28"/>
      <c r="E18" s="28"/>
      <c r="G18" s="28"/>
      <c r="H18" s="28"/>
      <c r="I18" s="28"/>
      <c r="K18" s="28"/>
      <c r="L18" s="28"/>
      <c r="M18" s="28"/>
      <c r="O18" s="28"/>
      <c r="P18" s="28"/>
      <c r="Q18" s="28"/>
      <c r="S18" s="28"/>
      <c r="T18" s="28"/>
      <c r="U18" s="28"/>
      <c r="W18" s="28"/>
      <c r="X18" s="28"/>
      <c r="Y18" s="28"/>
      <c r="AA18" s="28"/>
      <c r="AB18" s="28"/>
      <c r="AC18" s="28"/>
      <c r="AE18" s="28"/>
      <c r="AF18" s="28"/>
      <c r="AG18" s="28"/>
      <c r="AI18" s="28"/>
      <c r="AJ18" s="28"/>
      <c r="AK18" s="28"/>
    </row>
    <row r="19" spans="1:37" ht="18" customHeight="1">
      <c r="A19" s="7" t="s">
        <v>72</v>
      </c>
      <c r="C19" s="32">
        <f>SUM(C20:C22)</f>
        <v>15772</v>
      </c>
      <c r="D19" s="32">
        <f>SUM(D20:D22)</f>
        <v>1801</v>
      </c>
      <c r="E19" s="32">
        <f>SUM(E20:E22)</f>
        <v>13971</v>
      </c>
      <c r="G19" s="32">
        <f>SUM(G20:G22)</f>
        <v>16693</v>
      </c>
      <c r="H19" s="32">
        <f>SUM(H20:H22)</f>
        <v>2858</v>
      </c>
      <c r="I19" s="32">
        <f>SUM(I20:I22)</f>
        <v>13835</v>
      </c>
      <c r="K19" s="32">
        <f>SUM(K20:K22)</f>
        <v>15360</v>
      </c>
      <c r="L19" s="32">
        <f>SUM(L20:L22)</f>
        <v>1635</v>
      </c>
      <c r="M19" s="32">
        <f>SUM(M20:M22)</f>
        <v>13725</v>
      </c>
      <c r="O19" s="32">
        <f>SUM(O20:O22)</f>
        <v>15338</v>
      </c>
      <c r="P19" s="32">
        <f>SUM(P20:P22)</f>
        <v>1062</v>
      </c>
      <c r="Q19" s="32">
        <f>SUM(Q20:Q22)</f>
        <v>14276</v>
      </c>
      <c r="S19" s="32">
        <f>SUM(S20:S22)</f>
        <v>16520</v>
      </c>
      <c r="T19" s="32">
        <f>SUM(T20:T22)</f>
        <v>1444</v>
      </c>
      <c r="U19" s="32">
        <f>SUM(U20:U22)</f>
        <v>15076</v>
      </c>
      <c r="W19" s="32">
        <f>SUM(W20:W22)</f>
        <v>15486</v>
      </c>
      <c r="X19" s="32">
        <f>SUM(X20:X22)</f>
        <v>1474</v>
      </c>
      <c r="Y19" s="32">
        <f>SUM(Y20:Y22)</f>
        <v>14012</v>
      </c>
      <c r="AA19" s="32">
        <f>SUM(AA20:AA22)</f>
        <v>14306</v>
      </c>
      <c r="AB19" s="32">
        <f>SUM(AB20:AB22)</f>
        <v>1041</v>
      </c>
      <c r="AC19" s="32">
        <f>SUM(AC20:AC22)</f>
        <v>13265</v>
      </c>
      <c r="AE19" s="32">
        <f>SUM(AE20:AE22)</f>
        <v>14155</v>
      </c>
      <c r="AF19" s="32">
        <f>SUM(AF20:AF22)</f>
        <v>919</v>
      </c>
      <c r="AG19" s="32">
        <f>SUM(AG20:AG22)</f>
        <v>13236</v>
      </c>
      <c r="AI19" s="32">
        <f>SUM(AI20:AI22)</f>
        <v>12261</v>
      </c>
      <c r="AJ19" s="32">
        <f>SUM(AJ20:AJ22)</f>
        <v>1222</v>
      </c>
      <c r="AK19" s="32">
        <f>SUM(AK20:AK22)</f>
        <v>11039</v>
      </c>
    </row>
    <row r="20" spans="1:37" s="24" customFormat="1" ht="15" customHeight="1">
      <c r="A20" s="9" t="s">
        <v>47</v>
      </c>
      <c r="B20" s="23"/>
      <c r="C20" s="34">
        <f>+D20+E20</f>
        <v>11868</v>
      </c>
      <c r="D20" s="37">
        <v>281</v>
      </c>
      <c r="E20" s="37">
        <f>11581+6</f>
        <v>11587</v>
      </c>
      <c r="G20" s="34">
        <f>+H20+I20</f>
        <v>12636</v>
      </c>
      <c r="H20" s="37">
        <v>1186</v>
      </c>
      <c r="I20" s="37">
        <f>11448+2</f>
        <v>11450</v>
      </c>
      <c r="K20" s="34">
        <f>+L20+M20</f>
        <v>11594</v>
      </c>
      <c r="L20" s="37">
        <v>233</v>
      </c>
      <c r="M20" s="37">
        <f>11359+2</f>
        <v>11361</v>
      </c>
      <c r="O20" s="34">
        <f>+P20+Q20</f>
        <v>12296</v>
      </c>
      <c r="P20" s="37">
        <v>285</v>
      </c>
      <c r="Q20" s="37">
        <f>12009+2</f>
        <v>12011</v>
      </c>
      <c r="S20" s="34">
        <f>+T20+U20</f>
        <v>11010</v>
      </c>
      <c r="T20" s="37">
        <v>302</v>
      </c>
      <c r="U20" s="37">
        <f>10704+4</f>
        <v>10708</v>
      </c>
      <c r="W20" s="34">
        <f>+X20+Y20</f>
        <v>11490</v>
      </c>
      <c r="X20" s="37">
        <v>292</v>
      </c>
      <c r="Y20" s="37">
        <f>11187+11</f>
        <v>11198</v>
      </c>
      <c r="AA20" s="34">
        <f>+AB20+AC20</f>
        <v>10845</v>
      </c>
      <c r="AB20" s="37">
        <v>319</v>
      </c>
      <c r="AC20" s="37">
        <f>10523+3</f>
        <v>10526</v>
      </c>
      <c r="AE20" s="34">
        <f>+AF20+AG20</f>
        <v>11348</v>
      </c>
      <c r="AF20" s="37">
        <v>222</v>
      </c>
      <c r="AG20" s="37">
        <f>11125+1</f>
        <v>11126</v>
      </c>
      <c r="AI20" s="34">
        <f>+AJ20+AK20</f>
        <v>9206</v>
      </c>
      <c r="AJ20" s="37">
        <v>318</v>
      </c>
      <c r="AK20" s="37">
        <f>8885+3</f>
        <v>8888</v>
      </c>
    </row>
    <row r="21" spans="1:37" s="24" customFormat="1" ht="15" customHeight="1">
      <c r="A21" s="9" t="s">
        <v>48</v>
      </c>
      <c r="B21" s="23"/>
      <c r="C21" s="34">
        <f>+D21+E21</f>
        <v>2104</v>
      </c>
      <c r="D21" s="37">
        <v>798</v>
      </c>
      <c r="E21" s="37">
        <f>1306+0</f>
        <v>1306</v>
      </c>
      <c r="G21" s="34">
        <f>+H21+I21</f>
        <v>2276</v>
      </c>
      <c r="H21" s="37">
        <v>937</v>
      </c>
      <c r="I21" s="37">
        <f>1339+0</f>
        <v>1339</v>
      </c>
      <c r="K21" s="34">
        <f>+L21+M21</f>
        <v>1842</v>
      </c>
      <c r="L21" s="37">
        <v>563</v>
      </c>
      <c r="M21" s="37">
        <v>1279</v>
      </c>
      <c r="O21" s="34">
        <f>+P21+Q21</f>
        <v>1735</v>
      </c>
      <c r="P21" s="37">
        <v>488</v>
      </c>
      <c r="Q21" s="37">
        <v>1247</v>
      </c>
      <c r="S21" s="34">
        <f>+T21+U21</f>
        <v>1649</v>
      </c>
      <c r="T21" s="37">
        <v>550</v>
      </c>
      <c r="U21" s="37">
        <v>1099</v>
      </c>
      <c r="W21" s="34">
        <f>+X21+Y21</f>
        <v>1532</v>
      </c>
      <c r="X21" s="37">
        <v>551</v>
      </c>
      <c r="Y21" s="37">
        <v>981</v>
      </c>
      <c r="AA21" s="34">
        <f>+AB21+AC21</f>
        <v>1085</v>
      </c>
      <c r="AB21" s="37">
        <v>227</v>
      </c>
      <c r="AC21" s="37">
        <v>858</v>
      </c>
      <c r="AE21" s="34">
        <f>+AF21+AG21</f>
        <v>1239</v>
      </c>
      <c r="AF21" s="37">
        <v>253</v>
      </c>
      <c r="AG21" s="37">
        <v>986</v>
      </c>
      <c r="AI21" s="34">
        <f>+AJ21+AK21</f>
        <v>1591</v>
      </c>
      <c r="AJ21" s="37">
        <v>392</v>
      </c>
      <c r="AK21" s="37">
        <v>1199</v>
      </c>
    </row>
    <row r="22" spans="1:37" s="24" customFormat="1" ht="15" customHeight="1">
      <c r="A22" s="9" t="s">
        <v>49</v>
      </c>
      <c r="B22" s="23"/>
      <c r="C22" s="34">
        <f>+D22+E22</f>
        <v>1800</v>
      </c>
      <c r="D22" s="37">
        <v>722</v>
      </c>
      <c r="E22" s="37">
        <f>1076+2</f>
        <v>1078</v>
      </c>
      <c r="G22" s="34">
        <f>+H22+I22</f>
        <v>1781</v>
      </c>
      <c r="H22" s="37">
        <v>735</v>
      </c>
      <c r="I22" s="37">
        <f>1046+0</f>
        <v>1046</v>
      </c>
      <c r="K22" s="34">
        <f>+L22+M22</f>
        <v>1924</v>
      </c>
      <c r="L22" s="37">
        <v>839</v>
      </c>
      <c r="M22" s="37">
        <f>1084+1</f>
        <v>1085</v>
      </c>
      <c r="O22" s="34">
        <f>+P22+Q22</f>
        <v>1307</v>
      </c>
      <c r="P22" s="37">
        <v>289</v>
      </c>
      <c r="Q22" s="37">
        <f>1015+3</f>
        <v>1018</v>
      </c>
      <c r="S22" s="34">
        <f>+T22+U22</f>
        <v>3861</v>
      </c>
      <c r="T22" s="37">
        <v>592</v>
      </c>
      <c r="U22" s="37">
        <f>3266+3</f>
        <v>3269</v>
      </c>
      <c r="W22" s="34">
        <f>+X22+Y22</f>
        <v>2464</v>
      </c>
      <c r="X22" s="37">
        <v>631</v>
      </c>
      <c r="Y22" s="37">
        <f>1828+5</f>
        <v>1833</v>
      </c>
      <c r="AA22" s="34">
        <f>+AB22+AC22</f>
        <v>2376</v>
      </c>
      <c r="AB22" s="37">
        <v>495</v>
      </c>
      <c r="AC22" s="37">
        <f>1878+3</f>
        <v>1881</v>
      </c>
      <c r="AE22" s="34">
        <f>+AF22+AG22</f>
        <v>1568</v>
      </c>
      <c r="AF22" s="37">
        <v>444</v>
      </c>
      <c r="AG22" s="37">
        <f>1120+4</f>
        <v>1124</v>
      </c>
      <c r="AI22" s="34">
        <f>+AJ22+AK22</f>
        <v>1464</v>
      </c>
      <c r="AJ22" s="37">
        <v>512</v>
      </c>
      <c r="AK22" s="37">
        <f>945+7</f>
        <v>952</v>
      </c>
    </row>
    <row r="23" s="24" customFormat="1" ht="15" customHeight="1">
      <c r="A23" s="10"/>
    </row>
    <row r="24" spans="1:37" ht="18" customHeight="1">
      <c r="A24" s="7" t="s">
        <v>44</v>
      </c>
      <c r="C24" s="32">
        <f>C26+C35+C44</f>
        <v>588655</v>
      </c>
      <c r="D24" s="32">
        <f>D26+D35+D44</f>
        <v>366090</v>
      </c>
      <c r="E24" s="32">
        <f>E26+E35+E44</f>
        <v>222565</v>
      </c>
      <c r="G24" s="32">
        <f>G26+G35+G44</f>
        <v>566556</v>
      </c>
      <c r="H24" s="32">
        <f>H26+H35+H44</f>
        <v>345999</v>
      </c>
      <c r="I24" s="32">
        <f>I26+I35+I44</f>
        <v>220557</v>
      </c>
      <c r="K24" s="32">
        <f>K26+K35+K44</f>
        <v>535513</v>
      </c>
      <c r="L24" s="32">
        <f>L26+L35+L44</f>
        <v>316808</v>
      </c>
      <c r="M24" s="32">
        <f>M26+M35+M44</f>
        <v>218705</v>
      </c>
      <c r="O24" s="32">
        <f>O26+O35+O44</f>
        <v>502979</v>
      </c>
      <c r="P24" s="32">
        <f>P26+P35+P44</f>
        <v>293130</v>
      </c>
      <c r="Q24" s="32">
        <f>Q26+Q35+Q44</f>
        <v>209849</v>
      </c>
      <c r="S24" s="32">
        <f>S26+S35+S44</f>
        <v>519219</v>
      </c>
      <c r="T24" s="32">
        <f>T26+T35+T44</f>
        <v>311011</v>
      </c>
      <c r="U24" s="32">
        <f>U26+U35+U44</f>
        <v>208208</v>
      </c>
      <c r="W24" s="32">
        <f>W26+W35+W44</f>
        <v>505066</v>
      </c>
      <c r="X24" s="32">
        <f>X26+X35+X44</f>
        <v>299248</v>
      </c>
      <c r="Y24" s="32">
        <f>Y26+Y35+Y44</f>
        <v>205818</v>
      </c>
      <c r="AA24" s="32">
        <f>AA26+AA35+AA44</f>
        <v>493935</v>
      </c>
      <c r="AB24" s="32">
        <f>AB26+AB35+AB44</f>
        <v>300505</v>
      </c>
      <c r="AC24" s="32">
        <f>AC26+AC35+AC44</f>
        <v>193430</v>
      </c>
      <c r="AE24" s="32">
        <f>AE26+AE35+AE44</f>
        <v>472544</v>
      </c>
      <c r="AF24" s="32">
        <f>AF26+AF35+AF44</f>
        <v>293822</v>
      </c>
      <c r="AG24" s="32">
        <f>AG26+AG35+AG44</f>
        <v>178722</v>
      </c>
      <c r="AI24" s="32">
        <f>AI26+AI35+AI44</f>
        <v>459003</v>
      </c>
      <c r="AJ24" s="32">
        <f>AJ26+AJ35+AJ44</f>
        <v>287415</v>
      </c>
      <c r="AK24" s="32">
        <f>AK26+AK35+AK44</f>
        <v>171588</v>
      </c>
    </row>
    <row r="25" spans="1:37" ht="15" customHeight="1">
      <c r="A25" s="11"/>
      <c r="C25" s="28"/>
      <c r="D25" s="28"/>
      <c r="E25" s="28"/>
      <c r="G25" s="28"/>
      <c r="H25" s="28"/>
      <c r="I25" s="28"/>
      <c r="K25" s="28"/>
      <c r="L25" s="28"/>
      <c r="M25" s="28"/>
      <c r="O25" s="28"/>
      <c r="P25" s="28"/>
      <c r="Q25" s="28"/>
      <c r="S25" s="28"/>
      <c r="T25" s="28"/>
      <c r="U25" s="28"/>
      <c r="W25" s="28"/>
      <c r="X25" s="28"/>
      <c r="Y25" s="28"/>
      <c r="AA25" s="28"/>
      <c r="AB25" s="28"/>
      <c r="AC25" s="28"/>
      <c r="AE25" s="28"/>
      <c r="AF25" s="28"/>
      <c r="AG25" s="28"/>
      <c r="AI25" s="28"/>
      <c r="AJ25" s="28"/>
      <c r="AK25" s="28"/>
    </row>
    <row r="26" spans="1:37" ht="18" customHeight="1">
      <c r="A26" s="7" t="s">
        <v>69</v>
      </c>
      <c r="C26" s="32">
        <f>SUM(C27:C33)</f>
        <v>402823</v>
      </c>
      <c r="D26" s="32">
        <f>SUM(D27:D33)</f>
        <v>268732</v>
      </c>
      <c r="E26" s="32">
        <f>SUM(E27:E33)</f>
        <v>134091</v>
      </c>
      <c r="G26" s="32">
        <f>SUM(G27:G33)</f>
        <v>383501</v>
      </c>
      <c r="H26" s="32">
        <f>SUM(H27:H33)</f>
        <v>254966</v>
      </c>
      <c r="I26" s="32">
        <f>SUM(I27:I33)</f>
        <v>128535</v>
      </c>
      <c r="K26" s="32">
        <f>SUM(K27:K33)</f>
        <v>358485</v>
      </c>
      <c r="L26" s="32">
        <f>SUM(L27:L33)</f>
        <v>230457</v>
      </c>
      <c r="M26" s="32">
        <f>SUM(M27:M33)</f>
        <v>128028</v>
      </c>
      <c r="O26" s="32">
        <f>SUM(O27:O33)</f>
        <v>333984</v>
      </c>
      <c r="P26" s="32">
        <f>SUM(P27:P33)</f>
        <v>206579</v>
      </c>
      <c r="Q26" s="32">
        <f>SUM(Q27:Q33)</f>
        <v>127405</v>
      </c>
      <c r="S26" s="32">
        <f>SUM(S27:S33)</f>
        <v>324043</v>
      </c>
      <c r="T26" s="32">
        <f>SUM(T27:T33)</f>
        <v>219454</v>
      </c>
      <c r="U26" s="32">
        <f>SUM(U27:U33)</f>
        <v>104589</v>
      </c>
      <c r="W26" s="32">
        <f>SUM(W27:W33)</f>
        <v>318744</v>
      </c>
      <c r="X26" s="32">
        <f>SUM(X27:X33)</f>
        <v>217189</v>
      </c>
      <c r="Y26" s="32">
        <f>SUM(Y27:Y33)</f>
        <v>101555</v>
      </c>
      <c r="AA26" s="32">
        <f>SUM(AA27:AA33)</f>
        <v>318021</v>
      </c>
      <c r="AB26" s="32">
        <f>SUM(AB27:AB33)</f>
        <v>224183</v>
      </c>
      <c r="AC26" s="32">
        <f>SUM(AC27:AC33)</f>
        <v>93838</v>
      </c>
      <c r="AE26" s="32">
        <f>SUM(AE27:AE33)</f>
        <v>301185</v>
      </c>
      <c r="AF26" s="32">
        <f>SUM(AF27:AF33)</f>
        <v>215364</v>
      </c>
      <c r="AG26" s="32">
        <f>SUM(AG27:AG33)</f>
        <v>85821</v>
      </c>
      <c r="AI26" s="32">
        <f>SUM(AI27:AI33)</f>
        <v>297994</v>
      </c>
      <c r="AJ26" s="32">
        <f>SUM(AJ27:AJ33)</f>
        <v>212799</v>
      </c>
      <c r="AK26" s="32">
        <f>SUM(AK27:AK33)</f>
        <v>85195</v>
      </c>
    </row>
    <row r="27" spans="1:37" s="28" customFormat="1" ht="15" customHeight="1">
      <c r="A27" s="9" t="s">
        <v>4</v>
      </c>
      <c r="B27" s="25"/>
      <c r="C27" s="34">
        <f aca="true" t="shared" si="0" ref="C27:C33">+D27+E27</f>
        <v>329260</v>
      </c>
      <c r="D27" s="37">
        <v>224282</v>
      </c>
      <c r="E27" s="37">
        <f>104975+3</f>
        <v>104978</v>
      </c>
      <c r="G27" s="34">
        <f aca="true" t="shared" si="1" ref="G27:G33">+H27+I27</f>
        <v>321174</v>
      </c>
      <c r="H27" s="37">
        <v>221668</v>
      </c>
      <c r="I27" s="37">
        <f>99504+2</f>
        <v>99506</v>
      </c>
      <c r="K27" s="34">
        <f aca="true" t="shared" si="2" ref="K27:K33">+L27+M27</f>
        <v>290983</v>
      </c>
      <c r="L27" s="37">
        <v>190714</v>
      </c>
      <c r="M27" s="37">
        <f>100267+2</f>
        <v>100269</v>
      </c>
      <c r="O27" s="34">
        <f aca="true" t="shared" si="3" ref="O27:O33">+P27+Q27</f>
        <v>272253</v>
      </c>
      <c r="P27" s="37">
        <v>171530</v>
      </c>
      <c r="Q27" s="37">
        <f>100721+2</f>
        <v>100723</v>
      </c>
      <c r="S27" s="34">
        <f aca="true" t="shared" si="4" ref="S27:S33">+T27+U27</f>
        <v>263794</v>
      </c>
      <c r="T27" s="37">
        <v>186146</v>
      </c>
      <c r="U27" s="37">
        <f>77645+3</f>
        <v>77648</v>
      </c>
      <c r="W27" s="34">
        <f aca="true" t="shared" si="5" ref="W27:W33">+X27+Y27</f>
        <v>259642</v>
      </c>
      <c r="X27" s="37">
        <v>185027</v>
      </c>
      <c r="Y27" s="37">
        <f>74614+1</f>
        <v>74615</v>
      </c>
      <c r="AA27" s="34">
        <f aca="true" t="shared" si="6" ref="AA27:AA33">+AB27+AC27</f>
        <v>260362</v>
      </c>
      <c r="AB27" s="37">
        <v>192976</v>
      </c>
      <c r="AC27" s="37">
        <f>67385+1</f>
        <v>67386</v>
      </c>
      <c r="AE27" s="34">
        <f aca="true" t="shared" si="7" ref="AE27:AE33">+AF27+AG27</f>
        <v>247457</v>
      </c>
      <c r="AF27" s="37">
        <v>188002</v>
      </c>
      <c r="AG27" s="37">
        <f>59454+1</f>
        <v>59455</v>
      </c>
      <c r="AI27" s="34">
        <f aca="true" t="shared" si="8" ref="AI27:AI33">+AJ27+AK27</f>
        <v>239618</v>
      </c>
      <c r="AJ27" s="37">
        <v>181890</v>
      </c>
      <c r="AK27" s="37">
        <f>57727+1</f>
        <v>57728</v>
      </c>
    </row>
    <row r="28" spans="1:37" s="24" customFormat="1" ht="15" customHeight="1">
      <c r="A28" s="12" t="s">
        <v>0</v>
      </c>
      <c r="B28" s="23"/>
      <c r="C28" s="34">
        <f t="shared" si="0"/>
        <v>25746</v>
      </c>
      <c r="D28" s="37">
        <v>19137</v>
      </c>
      <c r="E28" s="37">
        <f>6591+18</f>
        <v>6609</v>
      </c>
      <c r="G28" s="34">
        <f t="shared" si="1"/>
        <v>23886</v>
      </c>
      <c r="H28" s="37">
        <v>18372</v>
      </c>
      <c r="I28" s="37">
        <f>5511+3</f>
        <v>5514</v>
      </c>
      <c r="K28" s="34">
        <f t="shared" si="2"/>
        <v>23671</v>
      </c>
      <c r="L28" s="37">
        <v>17173</v>
      </c>
      <c r="M28" s="37">
        <f>6490+8</f>
        <v>6498</v>
      </c>
      <c r="O28" s="34">
        <f t="shared" si="3"/>
        <v>19346</v>
      </c>
      <c r="P28" s="37">
        <v>13264</v>
      </c>
      <c r="Q28" s="37">
        <f>6078+4</f>
        <v>6082</v>
      </c>
      <c r="S28" s="34">
        <f t="shared" si="4"/>
        <v>16633</v>
      </c>
      <c r="T28" s="37">
        <v>10232</v>
      </c>
      <c r="U28" s="37">
        <f>6397+4</f>
        <v>6401</v>
      </c>
      <c r="W28" s="34">
        <f t="shared" si="5"/>
        <v>16437</v>
      </c>
      <c r="X28" s="37">
        <v>9859</v>
      </c>
      <c r="Y28" s="37">
        <f>6574+4</f>
        <v>6578</v>
      </c>
      <c r="AA28" s="34">
        <f t="shared" si="6"/>
        <v>14974</v>
      </c>
      <c r="AB28" s="37">
        <v>8903</v>
      </c>
      <c r="AC28" s="37">
        <f>6067+4</f>
        <v>6071</v>
      </c>
      <c r="AE28" s="34">
        <f t="shared" si="7"/>
        <v>14371</v>
      </c>
      <c r="AF28" s="37">
        <v>8690</v>
      </c>
      <c r="AG28" s="37">
        <f>5677+4</f>
        <v>5681</v>
      </c>
      <c r="AI28" s="34">
        <f t="shared" si="8"/>
        <v>15226</v>
      </c>
      <c r="AJ28" s="37">
        <v>9100</v>
      </c>
      <c r="AK28" s="37">
        <f>6123+3</f>
        <v>6126</v>
      </c>
    </row>
    <row r="29" spans="1:37" s="24" customFormat="1" ht="15" customHeight="1">
      <c r="A29" s="12" t="s">
        <v>9</v>
      </c>
      <c r="B29" s="23"/>
      <c r="C29" s="34">
        <f t="shared" si="0"/>
        <v>372</v>
      </c>
      <c r="D29" s="37">
        <v>195</v>
      </c>
      <c r="E29" s="37">
        <f>177+0</f>
        <v>177</v>
      </c>
      <c r="G29" s="34">
        <f t="shared" si="1"/>
        <v>358</v>
      </c>
      <c r="H29" s="37">
        <v>189</v>
      </c>
      <c r="I29" s="37">
        <f>169+0</f>
        <v>169</v>
      </c>
      <c r="K29" s="34">
        <f t="shared" si="2"/>
        <v>317</v>
      </c>
      <c r="L29" s="37">
        <v>148</v>
      </c>
      <c r="M29" s="37">
        <v>169</v>
      </c>
      <c r="O29" s="34">
        <f t="shared" si="3"/>
        <v>147</v>
      </c>
      <c r="P29" s="37">
        <v>147</v>
      </c>
      <c r="Q29" s="35">
        <v>0</v>
      </c>
      <c r="S29" s="34">
        <f t="shared" si="4"/>
        <v>144</v>
      </c>
      <c r="T29" s="37">
        <v>144</v>
      </c>
      <c r="U29" s="28">
        <v>0</v>
      </c>
      <c r="W29" s="34">
        <f t="shared" si="5"/>
        <v>160</v>
      </c>
      <c r="X29" s="37">
        <v>160</v>
      </c>
      <c r="Y29" s="28">
        <v>0</v>
      </c>
      <c r="AA29" s="34">
        <f t="shared" si="6"/>
        <v>150</v>
      </c>
      <c r="AB29" s="37">
        <v>150</v>
      </c>
      <c r="AC29" s="28">
        <v>0</v>
      </c>
      <c r="AE29" s="34">
        <f t="shared" si="7"/>
        <v>141</v>
      </c>
      <c r="AF29" s="37">
        <v>141</v>
      </c>
      <c r="AG29" s="28">
        <v>0</v>
      </c>
      <c r="AI29" s="34">
        <f t="shared" si="8"/>
        <v>143</v>
      </c>
      <c r="AJ29" s="37">
        <v>143</v>
      </c>
      <c r="AK29" s="28">
        <v>0</v>
      </c>
    </row>
    <row r="30" spans="1:37" s="24" customFormat="1" ht="15" customHeight="1">
      <c r="A30" s="12" t="s">
        <v>2</v>
      </c>
      <c r="B30" s="23"/>
      <c r="C30" s="34">
        <f t="shared" si="0"/>
        <v>30801</v>
      </c>
      <c r="D30" s="37">
        <v>19669</v>
      </c>
      <c r="E30" s="37">
        <f>11131+1</f>
        <v>11132</v>
      </c>
      <c r="G30" s="34">
        <f t="shared" si="1"/>
        <v>22530</v>
      </c>
      <c r="H30" s="37">
        <v>10630</v>
      </c>
      <c r="I30" s="37">
        <f>11899+1</f>
        <v>11900</v>
      </c>
      <c r="K30" s="34">
        <f t="shared" si="2"/>
        <v>28266</v>
      </c>
      <c r="L30" s="37">
        <v>18160</v>
      </c>
      <c r="M30" s="37">
        <f>10105+1</f>
        <v>10106</v>
      </c>
      <c r="O30" s="34">
        <f t="shared" si="3"/>
        <v>28698</v>
      </c>
      <c r="P30" s="37">
        <v>18823</v>
      </c>
      <c r="Q30" s="37">
        <f>9874+1</f>
        <v>9875</v>
      </c>
      <c r="S30" s="34">
        <f t="shared" si="4"/>
        <v>28728</v>
      </c>
      <c r="T30" s="37">
        <v>19513</v>
      </c>
      <c r="U30" s="37">
        <f>9214+1</f>
        <v>9215</v>
      </c>
      <c r="W30" s="34">
        <f t="shared" si="5"/>
        <v>28590</v>
      </c>
      <c r="X30" s="37">
        <v>18943</v>
      </c>
      <c r="Y30" s="37">
        <f>9633+14</f>
        <v>9647</v>
      </c>
      <c r="AA30" s="34">
        <f t="shared" si="6"/>
        <v>28334</v>
      </c>
      <c r="AB30" s="37">
        <v>18400</v>
      </c>
      <c r="AC30" s="37">
        <v>9934</v>
      </c>
      <c r="AE30" s="34">
        <f t="shared" si="7"/>
        <v>23908</v>
      </c>
      <c r="AF30" s="37">
        <v>14274</v>
      </c>
      <c r="AG30" s="37">
        <v>9634</v>
      </c>
      <c r="AI30" s="34">
        <f t="shared" si="8"/>
        <v>27095</v>
      </c>
      <c r="AJ30" s="37">
        <v>17745</v>
      </c>
      <c r="AK30" s="37">
        <v>9350</v>
      </c>
    </row>
    <row r="31" spans="1:37" s="24" customFormat="1" ht="15" customHeight="1">
      <c r="A31" s="12" t="s">
        <v>3</v>
      </c>
      <c r="B31" s="23"/>
      <c r="C31" s="34">
        <f t="shared" si="0"/>
        <v>2985</v>
      </c>
      <c r="D31" s="37">
        <v>2290</v>
      </c>
      <c r="E31" s="37">
        <f>695+0</f>
        <v>695</v>
      </c>
      <c r="G31" s="34">
        <f t="shared" si="1"/>
        <v>2342</v>
      </c>
      <c r="H31" s="37">
        <v>1803</v>
      </c>
      <c r="I31" s="37">
        <f>539+0</f>
        <v>539</v>
      </c>
      <c r="K31" s="34">
        <f t="shared" si="2"/>
        <v>2393</v>
      </c>
      <c r="L31" s="37">
        <v>2065</v>
      </c>
      <c r="M31" s="37">
        <v>328</v>
      </c>
      <c r="O31" s="34">
        <f t="shared" si="3"/>
        <v>1205</v>
      </c>
      <c r="P31" s="37">
        <v>875</v>
      </c>
      <c r="Q31" s="37">
        <v>330</v>
      </c>
      <c r="S31" s="34">
        <f t="shared" si="4"/>
        <v>1883</v>
      </c>
      <c r="T31" s="37">
        <v>1464</v>
      </c>
      <c r="U31" s="37">
        <v>419</v>
      </c>
      <c r="W31" s="34">
        <f t="shared" si="5"/>
        <v>1724</v>
      </c>
      <c r="X31" s="37">
        <v>1356</v>
      </c>
      <c r="Y31" s="37">
        <v>368</v>
      </c>
      <c r="AA31" s="34">
        <f t="shared" si="6"/>
        <v>2226</v>
      </c>
      <c r="AB31" s="37">
        <v>1848</v>
      </c>
      <c r="AC31" s="37">
        <v>378</v>
      </c>
      <c r="AE31" s="34">
        <f t="shared" si="7"/>
        <v>1979</v>
      </c>
      <c r="AF31" s="37">
        <v>1822</v>
      </c>
      <c r="AG31" s="37">
        <v>157</v>
      </c>
      <c r="AI31" s="34">
        <f t="shared" si="8"/>
        <v>1746</v>
      </c>
      <c r="AJ31" s="37">
        <v>1573</v>
      </c>
      <c r="AK31" s="37">
        <v>173</v>
      </c>
    </row>
    <row r="32" spans="1:37" s="24" customFormat="1" ht="15" customHeight="1">
      <c r="A32" s="12" t="s">
        <v>70</v>
      </c>
      <c r="B32" s="23"/>
      <c r="C32" s="34">
        <f t="shared" si="0"/>
        <v>13659</v>
      </c>
      <c r="D32" s="37">
        <v>3159</v>
      </c>
      <c r="E32" s="37">
        <f>10500+0</f>
        <v>10500</v>
      </c>
      <c r="G32" s="34">
        <f t="shared" si="1"/>
        <v>13211</v>
      </c>
      <c r="H32" s="37">
        <v>2304</v>
      </c>
      <c r="I32" s="37">
        <f>10907+0</f>
        <v>10907</v>
      </c>
      <c r="K32" s="34">
        <f t="shared" si="2"/>
        <v>12855</v>
      </c>
      <c r="L32" s="37">
        <v>2197</v>
      </c>
      <c r="M32" s="37">
        <v>10658</v>
      </c>
      <c r="O32" s="34">
        <f t="shared" si="3"/>
        <v>12335</v>
      </c>
      <c r="P32" s="37">
        <v>1940</v>
      </c>
      <c r="Q32" s="37">
        <v>10395</v>
      </c>
      <c r="S32" s="34">
        <f t="shared" si="4"/>
        <v>12861</v>
      </c>
      <c r="T32" s="37">
        <v>1955</v>
      </c>
      <c r="U32" s="37">
        <v>10906</v>
      </c>
      <c r="W32" s="34">
        <f t="shared" si="5"/>
        <v>12191</v>
      </c>
      <c r="X32" s="37">
        <v>1844</v>
      </c>
      <c r="Y32" s="37">
        <v>10347</v>
      </c>
      <c r="AA32" s="34">
        <f t="shared" si="6"/>
        <v>11975</v>
      </c>
      <c r="AB32" s="37">
        <v>1906</v>
      </c>
      <c r="AC32" s="37">
        <v>10069</v>
      </c>
      <c r="AE32" s="34">
        <f t="shared" si="7"/>
        <v>13329</v>
      </c>
      <c r="AF32" s="37">
        <v>2435</v>
      </c>
      <c r="AG32" s="37">
        <v>10894</v>
      </c>
      <c r="AI32" s="34">
        <f t="shared" si="8"/>
        <v>14166</v>
      </c>
      <c r="AJ32" s="37">
        <v>2348</v>
      </c>
      <c r="AK32" s="37">
        <v>11818</v>
      </c>
    </row>
    <row r="33" spans="1:37" s="24" customFormat="1" ht="15" customHeight="1">
      <c r="A33" s="12" t="s">
        <v>19</v>
      </c>
      <c r="B33" s="23"/>
      <c r="C33" s="34">
        <f t="shared" si="0"/>
        <v>0</v>
      </c>
      <c r="D33" s="35">
        <v>0</v>
      </c>
      <c r="E33" s="35">
        <v>0</v>
      </c>
      <c r="G33" s="34">
        <f t="shared" si="1"/>
        <v>0</v>
      </c>
      <c r="H33" s="35">
        <v>0</v>
      </c>
      <c r="I33" s="35">
        <v>0</v>
      </c>
      <c r="K33" s="34">
        <f t="shared" si="2"/>
        <v>0</v>
      </c>
      <c r="L33" s="35">
        <v>0</v>
      </c>
      <c r="M33" s="35">
        <v>0</v>
      </c>
      <c r="O33" s="34">
        <f t="shared" si="3"/>
        <v>0</v>
      </c>
      <c r="P33" s="35">
        <v>0</v>
      </c>
      <c r="Q33" s="35">
        <v>0</v>
      </c>
      <c r="S33" s="34">
        <f t="shared" si="4"/>
        <v>0</v>
      </c>
      <c r="T33" s="28">
        <v>0</v>
      </c>
      <c r="U33" s="28">
        <v>0</v>
      </c>
      <c r="W33" s="34">
        <f t="shared" si="5"/>
        <v>0</v>
      </c>
      <c r="X33" s="28">
        <v>0</v>
      </c>
      <c r="Y33" s="28">
        <v>0</v>
      </c>
      <c r="AA33" s="34">
        <f t="shared" si="6"/>
        <v>0</v>
      </c>
      <c r="AB33" s="28">
        <v>0</v>
      </c>
      <c r="AC33" s="28">
        <v>0</v>
      </c>
      <c r="AE33" s="34">
        <f t="shared" si="7"/>
        <v>0</v>
      </c>
      <c r="AF33" s="28">
        <v>0</v>
      </c>
      <c r="AG33" s="28">
        <v>0</v>
      </c>
      <c r="AI33" s="34">
        <f t="shared" si="8"/>
        <v>0</v>
      </c>
      <c r="AJ33" s="28">
        <v>0</v>
      </c>
      <c r="AK33" s="28">
        <v>0</v>
      </c>
    </row>
    <row r="34" s="26" customFormat="1" ht="15" customHeight="1">
      <c r="A34" s="13"/>
    </row>
    <row r="35" spans="1:37" ht="18" customHeight="1">
      <c r="A35" s="7" t="s">
        <v>45</v>
      </c>
      <c r="C35" s="32">
        <f>SUM(C36:C42)</f>
        <v>62533</v>
      </c>
      <c r="D35" s="32">
        <f>SUM(D36:D42)</f>
        <v>25230</v>
      </c>
      <c r="E35" s="32">
        <f>SUM(E36:E42)</f>
        <v>37303</v>
      </c>
      <c r="G35" s="32">
        <f>SUM(G36:G42)</f>
        <v>68676</v>
      </c>
      <c r="H35" s="32">
        <f>SUM(H36:H42)</f>
        <v>26540</v>
      </c>
      <c r="I35" s="32">
        <f>SUM(I36:I42)</f>
        <v>42136</v>
      </c>
      <c r="K35" s="32">
        <f>SUM(K36:K42)</f>
        <v>68219</v>
      </c>
      <c r="L35" s="32">
        <f>SUM(L36:L42)</f>
        <v>26297</v>
      </c>
      <c r="M35" s="32">
        <f>SUM(M36:M42)</f>
        <v>41922</v>
      </c>
      <c r="O35" s="32">
        <f>SUM(O36:O42)</f>
        <v>65692</v>
      </c>
      <c r="P35" s="32">
        <f>SUM(P36:P42)</f>
        <v>30600</v>
      </c>
      <c r="Q35" s="32">
        <f>SUM(Q36:Q42)</f>
        <v>35092</v>
      </c>
      <c r="S35" s="32">
        <f>SUM(S36:S42)</f>
        <v>66435</v>
      </c>
      <c r="T35" s="32">
        <f>SUM(T36:T42)</f>
        <v>29518</v>
      </c>
      <c r="U35" s="32">
        <f>SUM(U36:U42)</f>
        <v>36917</v>
      </c>
      <c r="W35" s="32">
        <f>SUM(W36:W42)</f>
        <v>72044</v>
      </c>
      <c r="X35" s="32">
        <f>SUM(X36:X42)</f>
        <v>37543</v>
      </c>
      <c r="Y35" s="32">
        <f>SUM(Y36:Y42)</f>
        <v>34501</v>
      </c>
      <c r="AA35" s="32">
        <f>SUM(AA36:AA42)</f>
        <v>62855</v>
      </c>
      <c r="AB35" s="32">
        <f>SUM(AB36:AB42)</f>
        <v>27827</v>
      </c>
      <c r="AC35" s="32">
        <f>SUM(AC36:AC42)</f>
        <v>35028</v>
      </c>
      <c r="AE35" s="32">
        <f>SUM(AE36:AE42)</f>
        <v>64795</v>
      </c>
      <c r="AF35" s="32">
        <f>SUM(AF36:AF42)</f>
        <v>29371</v>
      </c>
      <c r="AG35" s="32">
        <f>SUM(AG36:AG42)</f>
        <v>35424</v>
      </c>
      <c r="AI35" s="32">
        <f>SUM(AI36:AI42)</f>
        <v>69125</v>
      </c>
      <c r="AJ35" s="32">
        <f>SUM(AJ36:AJ42)</f>
        <v>28952</v>
      </c>
      <c r="AK35" s="32">
        <f>SUM(AK36:AK42)</f>
        <v>40173</v>
      </c>
    </row>
    <row r="36" spans="1:37" s="28" customFormat="1" ht="15" customHeight="1">
      <c r="A36" s="9" t="s">
        <v>4</v>
      </c>
      <c r="B36" s="25"/>
      <c r="C36" s="34">
        <f aca="true" t="shared" si="9" ref="C36:C42">+D36+E36</f>
        <v>29758</v>
      </c>
      <c r="D36" s="37">
        <v>12506</v>
      </c>
      <c r="E36" s="37">
        <f>17252+0</f>
        <v>17252</v>
      </c>
      <c r="G36" s="34">
        <f aca="true" t="shared" si="10" ref="G36:G42">+H36+I36</f>
        <v>34247</v>
      </c>
      <c r="H36" s="37">
        <v>12976</v>
      </c>
      <c r="I36" s="37">
        <f>21271+0</f>
        <v>21271</v>
      </c>
      <c r="K36" s="34">
        <f aca="true" t="shared" si="11" ref="K36:K42">+L36+M36</f>
        <v>35823</v>
      </c>
      <c r="L36" s="37">
        <v>11765</v>
      </c>
      <c r="M36" s="37">
        <f>24038+20</f>
        <v>24058</v>
      </c>
      <c r="O36" s="34">
        <f aca="true" t="shared" si="12" ref="O36:O42">+P36+Q36</f>
        <v>35797</v>
      </c>
      <c r="P36" s="37">
        <v>16789</v>
      </c>
      <c r="Q36" s="37">
        <v>19008</v>
      </c>
      <c r="S36" s="34">
        <f aca="true" t="shared" si="13" ref="S36:S42">+T36+U36</f>
        <v>35273</v>
      </c>
      <c r="T36" s="37">
        <v>15835</v>
      </c>
      <c r="U36" s="37">
        <v>19438</v>
      </c>
      <c r="W36" s="34">
        <f aca="true" t="shared" si="14" ref="W36:W42">+X36+Y36</f>
        <v>37792</v>
      </c>
      <c r="X36" s="37">
        <v>19829</v>
      </c>
      <c r="Y36" s="37">
        <v>17963</v>
      </c>
      <c r="AA36" s="34">
        <f aca="true" t="shared" si="15" ref="AA36:AA42">+AB36+AC36</f>
        <v>31913</v>
      </c>
      <c r="AB36" s="37">
        <v>14259</v>
      </c>
      <c r="AC36" s="37">
        <v>17654</v>
      </c>
      <c r="AE36" s="34">
        <f aca="true" t="shared" si="16" ref="AE36:AE42">+AF36+AG36</f>
        <v>34716</v>
      </c>
      <c r="AF36" s="37">
        <v>15642</v>
      </c>
      <c r="AG36" s="37">
        <v>19074</v>
      </c>
      <c r="AI36" s="34">
        <f aca="true" t="shared" si="17" ref="AI36:AI42">+AJ36+AK36</f>
        <v>32522</v>
      </c>
      <c r="AJ36" s="37">
        <v>14697</v>
      </c>
      <c r="AK36" s="37">
        <f>17800+25</f>
        <v>17825</v>
      </c>
    </row>
    <row r="37" spans="1:37" s="24" customFormat="1" ht="15" customHeight="1">
      <c r="A37" s="12" t="s">
        <v>0</v>
      </c>
      <c r="B37" s="23"/>
      <c r="C37" s="34">
        <f t="shared" si="9"/>
        <v>358</v>
      </c>
      <c r="D37" s="37">
        <v>110</v>
      </c>
      <c r="E37" s="37">
        <f>248+0</f>
        <v>248</v>
      </c>
      <c r="G37" s="34">
        <f t="shared" si="10"/>
        <v>369</v>
      </c>
      <c r="H37" s="37">
        <v>112</v>
      </c>
      <c r="I37" s="37">
        <f>257+0</f>
        <v>257</v>
      </c>
      <c r="K37" s="34">
        <f t="shared" si="11"/>
        <v>501</v>
      </c>
      <c r="L37" s="37">
        <v>199</v>
      </c>
      <c r="M37" s="37">
        <v>302</v>
      </c>
      <c r="O37" s="34">
        <f t="shared" si="12"/>
        <v>504</v>
      </c>
      <c r="P37" s="37">
        <v>187</v>
      </c>
      <c r="Q37" s="37">
        <v>317</v>
      </c>
      <c r="S37" s="34">
        <f t="shared" si="13"/>
        <v>855</v>
      </c>
      <c r="T37" s="37">
        <v>382</v>
      </c>
      <c r="U37" s="37">
        <v>473</v>
      </c>
      <c r="W37" s="34">
        <f t="shared" si="14"/>
        <v>4790</v>
      </c>
      <c r="X37" s="37">
        <v>4378</v>
      </c>
      <c r="Y37" s="37">
        <v>412</v>
      </c>
      <c r="AA37" s="34">
        <f t="shared" si="15"/>
        <v>757</v>
      </c>
      <c r="AB37" s="37">
        <v>221</v>
      </c>
      <c r="AC37" s="37">
        <v>536</v>
      </c>
      <c r="AE37" s="34">
        <f t="shared" si="16"/>
        <v>664</v>
      </c>
      <c r="AF37" s="37">
        <v>80</v>
      </c>
      <c r="AG37" s="37">
        <v>584</v>
      </c>
      <c r="AI37" s="34">
        <f t="shared" si="17"/>
        <v>1295</v>
      </c>
      <c r="AJ37" s="37">
        <v>160</v>
      </c>
      <c r="AK37" s="37">
        <v>1135</v>
      </c>
    </row>
    <row r="38" spans="1:37" s="24" customFormat="1" ht="15" customHeight="1">
      <c r="A38" s="12" t="s">
        <v>9</v>
      </c>
      <c r="B38" s="23"/>
      <c r="C38" s="34">
        <f t="shared" si="9"/>
        <v>48</v>
      </c>
      <c r="D38" s="37">
        <v>1</v>
      </c>
      <c r="E38" s="37">
        <f>47+0</f>
        <v>47</v>
      </c>
      <c r="G38" s="34">
        <f t="shared" si="10"/>
        <v>37</v>
      </c>
      <c r="H38" s="37">
        <v>9</v>
      </c>
      <c r="I38" s="37">
        <f>28+0</f>
        <v>28</v>
      </c>
      <c r="K38" s="34">
        <f t="shared" si="11"/>
        <v>38</v>
      </c>
      <c r="L38" s="37">
        <v>1</v>
      </c>
      <c r="M38" s="37">
        <v>37</v>
      </c>
      <c r="O38" s="34">
        <f t="shared" si="12"/>
        <v>84</v>
      </c>
      <c r="P38" s="37">
        <v>1</v>
      </c>
      <c r="Q38" s="37">
        <v>83</v>
      </c>
      <c r="S38" s="34">
        <f t="shared" si="13"/>
        <v>74</v>
      </c>
      <c r="T38" s="28">
        <v>0</v>
      </c>
      <c r="U38" s="37">
        <v>74</v>
      </c>
      <c r="W38" s="34">
        <f t="shared" si="14"/>
        <v>84</v>
      </c>
      <c r="X38" s="28">
        <v>0</v>
      </c>
      <c r="Y38" s="37">
        <v>84</v>
      </c>
      <c r="AA38" s="34">
        <f t="shared" si="15"/>
        <v>62</v>
      </c>
      <c r="AB38" s="28">
        <v>0</v>
      </c>
      <c r="AC38" s="37">
        <v>62</v>
      </c>
      <c r="AE38" s="34">
        <f t="shared" si="16"/>
        <v>73</v>
      </c>
      <c r="AF38" s="28">
        <v>0</v>
      </c>
      <c r="AG38" s="37">
        <v>73</v>
      </c>
      <c r="AI38" s="34">
        <f t="shared" si="17"/>
        <v>81</v>
      </c>
      <c r="AJ38" s="28">
        <v>0</v>
      </c>
      <c r="AK38" s="37">
        <v>81</v>
      </c>
    </row>
    <row r="39" spans="1:37" s="24" customFormat="1" ht="15" customHeight="1">
      <c r="A39" s="12" t="s">
        <v>2</v>
      </c>
      <c r="B39" s="23"/>
      <c r="C39" s="34">
        <f t="shared" si="9"/>
        <v>26600</v>
      </c>
      <c r="D39" s="37">
        <v>11783</v>
      </c>
      <c r="E39" s="37">
        <f>14817+0</f>
        <v>14817</v>
      </c>
      <c r="G39" s="34">
        <f t="shared" si="10"/>
        <v>27314</v>
      </c>
      <c r="H39" s="37">
        <v>12894</v>
      </c>
      <c r="I39" s="37">
        <f>14420+0</f>
        <v>14420</v>
      </c>
      <c r="K39" s="34">
        <f t="shared" si="11"/>
        <v>24198</v>
      </c>
      <c r="L39" s="37">
        <v>14062</v>
      </c>
      <c r="M39" s="37">
        <v>10136</v>
      </c>
      <c r="O39" s="34">
        <f t="shared" si="12"/>
        <v>22747</v>
      </c>
      <c r="P39" s="37">
        <v>13276</v>
      </c>
      <c r="Q39" s="37">
        <v>9471</v>
      </c>
      <c r="S39" s="34">
        <f t="shared" si="13"/>
        <v>22493</v>
      </c>
      <c r="T39" s="37">
        <v>12903</v>
      </c>
      <c r="U39" s="37">
        <v>9590</v>
      </c>
      <c r="W39" s="34">
        <f t="shared" si="14"/>
        <v>21298</v>
      </c>
      <c r="X39" s="37">
        <v>12953</v>
      </c>
      <c r="Y39" s="37">
        <v>8345</v>
      </c>
      <c r="AA39" s="34">
        <f t="shared" si="15"/>
        <v>21579</v>
      </c>
      <c r="AB39" s="37">
        <v>12981</v>
      </c>
      <c r="AC39" s="37">
        <v>8598</v>
      </c>
      <c r="AE39" s="34">
        <f t="shared" si="16"/>
        <v>20131</v>
      </c>
      <c r="AF39" s="37">
        <v>13001</v>
      </c>
      <c r="AG39" s="37">
        <v>7130</v>
      </c>
      <c r="AI39" s="34">
        <f t="shared" si="17"/>
        <v>24942</v>
      </c>
      <c r="AJ39" s="37">
        <v>13084</v>
      </c>
      <c r="AK39" s="37">
        <v>11858</v>
      </c>
    </row>
    <row r="40" spans="1:37" s="24" customFormat="1" ht="15" customHeight="1">
      <c r="A40" s="12" t="s">
        <v>3</v>
      </c>
      <c r="B40" s="23"/>
      <c r="C40" s="34">
        <f t="shared" si="9"/>
        <v>1028</v>
      </c>
      <c r="D40" s="37">
        <v>638</v>
      </c>
      <c r="E40" s="37">
        <f>390+0</f>
        <v>390</v>
      </c>
      <c r="G40" s="34">
        <f t="shared" si="10"/>
        <v>1364</v>
      </c>
      <c r="H40" s="37">
        <v>373</v>
      </c>
      <c r="I40" s="37">
        <f>991+0</f>
        <v>991</v>
      </c>
      <c r="K40" s="34">
        <f t="shared" si="11"/>
        <v>1787</v>
      </c>
      <c r="L40" s="37">
        <v>242</v>
      </c>
      <c r="M40" s="37">
        <v>1545</v>
      </c>
      <c r="O40" s="34">
        <f t="shared" si="12"/>
        <v>1919</v>
      </c>
      <c r="P40" s="37">
        <v>322</v>
      </c>
      <c r="Q40" s="37">
        <v>1597</v>
      </c>
      <c r="S40" s="34">
        <f t="shared" si="13"/>
        <v>2171</v>
      </c>
      <c r="T40" s="37">
        <v>387</v>
      </c>
      <c r="U40" s="37">
        <v>1784</v>
      </c>
      <c r="W40" s="34">
        <f t="shared" si="14"/>
        <v>2117</v>
      </c>
      <c r="X40" s="37">
        <v>349</v>
      </c>
      <c r="Y40" s="37">
        <v>1768</v>
      </c>
      <c r="AA40" s="34">
        <f t="shared" si="15"/>
        <v>2240</v>
      </c>
      <c r="AB40" s="37">
        <v>334</v>
      </c>
      <c r="AC40" s="37">
        <v>1906</v>
      </c>
      <c r="AE40" s="34">
        <f t="shared" si="16"/>
        <v>2639</v>
      </c>
      <c r="AF40" s="37">
        <v>579</v>
      </c>
      <c r="AG40" s="37">
        <v>2060</v>
      </c>
      <c r="AI40" s="34">
        <f t="shared" si="17"/>
        <v>3580</v>
      </c>
      <c r="AJ40" s="37">
        <v>940</v>
      </c>
      <c r="AK40" s="37">
        <v>2640</v>
      </c>
    </row>
    <row r="41" spans="1:37" s="24" customFormat="1" ht="15" customHeight="1">
      <c r="A41" s="12" t="s">
        <v>1</v>
      </c>
      <c r="B41" s="23"/>
      <c r="C41" s="34">
        <f t="shared" si="9"/>
        <v>713</v>
      </c>
      <c r="D41" s="37">
        <v>191</v>
      </c>
      <c r="E41" s="37">
        <f>522+0</f>
        <v>522</v>
      </c>
      <c r="G41" s="34">
        <f t="shared" si="10"/>
        <v>1127</v>
      </c>
      <c r="H41" s="37">
        <v>175</v>
      </c>
      <c r="I41" s="37">
        <f>952+0</f>
        <v>952</v>
      </c>
      <c r="K41" s="34">
        <f t="shared" si="11"/>
        <v>1288</v>
      </c>
      <c r="L41" s="37">
        <v>27</v>
      </c>
      <c r="M41" s="37">
        <v>1261</v>
      </c>
      <c r="O41" s="34">
        <f t="shared" si="12"/>
        <v>1424</v>
      </c>
      <c r="P41" s="37">
        <v>24</v>
      </c>
      <c r="Q41" s="37">
        <v>1400</v>
      </c>
      <c r="S41" s="34">
        <f t="shared" si="13"/>
        <v>2113</v>
      </c>
      <c r="T41" s="37">
        <v>11</v>
      </c>
      <c r="U41" s="37">
        <v>2102</v>
      </c>
      <c r="W41" s="34">
        <f t="shared" si="14"/>
        <v>2268</v>
      </c>
      <c r="X41" s="37">
        <v>34</v>
      </c>
      <c r="Y41" s="37">
        <v>2234</v>
      </c>
      <c r="AA41" s="34">
        <f t="shared" si="15"/>
        <v>2309</v>
      </c>
      <c r="AB41" s="37">
        <v>32</v>
      </c>
      <c r="AC41" s="37">
        <v>2277</v>
      </c>
      <c r="AE41" s="34">
        <f t="shared" si="16"/>
        <v>2468</v>
      </c>
      <c r="AF41" s="37">
        <v>69</v>
      </c>
      <c r="AG41" s="37">
        <v>2399</v>
      </c>
      <c r="AI41" s="34">
        <f t="shared" si="17"/>
        <v>2589</v>
      </c>
      <c r="AJ41" s="37">
        <v>71</v>
      </c>
      <c r="AK41" s="37">
        <v>2518</v>
      </c>
    </row>
    <row r="42" spans="1:37" s="24" customFormat="1" ht="15" customHeight="1">
      <c r="A42" s="12" t="s">
        <v>19</v>
      </c>
      <c r="B42" s="23"/>
      <c r="C42" s="34">
        <f t="shared" si="9"/>
        <v>4028</v>
      </c>
      <c r="D42" s="37">
        <v>1</v>
      </c>
      <c r="E42" s="37">
        <f>4027+0</f>
        <v>4027</v>
      </c>
      <c r="G42" s="34">
        <f t="shared" si="10"/>
        <v>4218</v>
      </c>
      <c r="H42" s="37">
        <v>1</v>
      </c>
      <c r="I42" s="37">
        <f>216+4001</f>
        <v>4217</v>
      </c>
      <c r="K42" s="34">
        <f t="shared" si="11"/>
        <v>4584</v>
      </c>
      <c r="L42" s="37">
        <v>1</v>
      </c>
      <c r="M42" s="37">
        <f>293+4290</f>
        <v>4583</v>
      </c>
      <c r="O42" s="34">
        <f t="shared" si="12"/>
        <v>3217</v>
      </c>
      <c r="P42" s="37">
        <v>1</v>
      </c>
      <c r="Q42" s="37">
        <f>283+2933</f>
        <v>3216</v>
      </c>
      <c r="S42" s="34">
        <f t="shared" si="13"/>
        <v>3456</v>
      </c>
      <c r="T42" s="28">
        <v>0</v>
      </c>
      <c r="U42" s="37">
        <f>249+3207</f>
        <v>3456</v>
      </c>
      <c r="W42" s="34">
        <f t="shared" si="14"/>
        <v>3695</v>
      </c>
      <c r="X42" s="28">
        <v>0</v>
      </c>
      <c r="Y42" s="37">
        <f>285+3410</f>
        <v>3695</v>
      </c>
      <c r="AA42" s="34">
        <f t="shared" si="15"/>
        <v>3995</v>
      </c>
      <c r="AB42" s="28">
        <v>0</v>
      </c>
      <c r="AC42" s="37">
        <f>637+3358</f>
        <v>3995</v>
      </c>
      <c r="AE42" s="34">
        <f t="shared" si="16"/>
        <v>4104</v>
      </c>
      <c r="AF42" s="28">
        <v>0</v>
      </c>
      <c r="AG42" s="37">
        <f>579+3525</f>
        <v>4104</v>
      </c>
      <c r="AI42" s="34">
        <f t="shared" si="17"/>
        <v>4116</v>
      </c>
      <c r="AJ42" s="28">
        <v>0</v>
      </c>
      <c r="AK42" s="37">
        <f>541+3575</f>
        <v>4116</v>
      </c>
    </row>
    <row r="43" s="26" customFormat="1" ht="15" customHeight="1">
      <c r="A43" s="13"/>
    </row>
    <row r="44" spans="1:37" ht="18" customHeight="1">
      <c r="A44" s="7" t="s">
        <v>46</v>
      </c>
      <c r="C44" s="32">
        <f>SUM(C45:C51)</f>
        <v>123299</v>
      </c>
      <c r="D44" s="32">
        <f>SUM(D45:D51)</f>
        <v>72128</v>
      </c>
      <c r="E44" s="32">
        <f>SUM(E45:E51)</f>
        <v>51171</v>
      </c>
      <c r="G44" s="32">
        <f>SUM(G45:G51)</f>
        <v>114379</v>
      </c>
      <c r="H44" s="32">
        <f>SUM(H45:H51)</f>
        <v>64493</v>
      </c>
      <c r="I44" s="32">
        <f>SUM(I45:I51)</f>
        <v>49886</v>
      </c>
      <c r="K44" s="32">
        <f>SUM(K45:K51)</f>
        <v>108809</v>
      </c>
      <c r="L44" s="32">
        <f>SUM(L45:L51)</f>
        <v>60054</v>
      </c>
      <c r="M44" s="32">
        <f>SUM(M45:M51)</f>
        <v>48755</v>
      </c>
      <c r="O44" s="32">
        <f>SUM(O45:O51)</f>
        <v>103303</v>
      </c>
      <c r="P44" s="32">
        <f>SUM(P45:P51)</f>
        <v>55951</v>
      </c>
      <c r="Q44" s="32">
        <f>SUM(Q45:Q51)</f>
        <v>47352</v>
      </c>
      <c r="S44" s="32">
        <f>SUM(S45:S51)</f>
        <v>128741</v>
      </c>
      <c r="T44" s="32">
        <f>SUM(T45:T51)</f>
        <v>62039</v>
      </c>
      <c r="U44" s="32">
        <f>SUM(U45:U51)</f>
        <v>66702</v>
      </c>
      <c r="W44" s="32">
        <f>SUM(W45:W51)</f>
        <v>114278</v>
      </c>
      <c r="X44" s="32">
        <f>SUM(X45:X51)</f>
        <v>44516</v>
      </c>
      <c r="Y44" s="32">
        <f>SUM(Y45:Y51)</f>
        <v>69762</v>
      </c>
      <c r="AA44" s="32">
        <f>SUM(AA45:AA51)</f>
        <v>113059</v>
      </c>
      <c r="AB44" s="32">
        <f>SUM(AB45:AB51)</f>
        <v>48495</v>
      </c>
      <c r="AC44" s="32">
        <f>SUM(AC45:AC51)</f>
        <v>64564</v>
      </c>
      <c r="AE44" s="32">
        <f>SUM(AE45:AE51)</f>
        <v>106564</v>
      </c>
      <c r="AF44" s="32">
        <f>SUM(AF45:AF51)</f>
        <v>49087</v>
      </c>
      <c r="AG44" s="32">
        <f>SUM(AG45:AG51)</f>
        <v>57477</v>
      </c>
      <c r="AI44" s="32">
        <f>SUM(AI45:AI51)</f>
        <v>91884</v>
      </c>
      <c r="AJ44" s="32">
        <f>SUM(AJ45:AJ51)</f>
        <v>45664</v>
      </c>
      <c r="AK44" s="32">
        <f>SUM(AK45:AK51)</f>
        <v>46220</v>
      </c>
    </row>
    <row r="45" spans="1:37" s="28" customFormat="1" ht="15" customHeight="1">
      <c r="A45" s="9" t="s">
        <v>4</v>
      </c>
      <c r="B45" s="21"/>
      <c r="C45" s="34">
        <f aca="true" t="shared" si="18" ref="C45:C51">+D45+E45</f>
        <v>104737</v>
      </c>
      <c r="D45" s="37">
        <v>56615</v>
      </c>
      <c r="E45" s="37">
        <f>48122+0</f>
        <v>48122</v>
      </c>
      <c r="G45" s="34">
        <f aca="true" t="shared" si="19" ref="G45:G51">+H45+I45</f>
        <v>96389</v>
      </c>
      <c r="H45" s="37">
        <v>49263</v>
      </c>
      <c r="I45" s="37">
        <f>47126+0</f>
        <v>47126</v>
      </c>
      <c r="K45" s="34">
        <f aca="true" t="shared" si="20" ref="K45:K51">+L45+M45</f>
        <v>94376</v>
      </c>
      <c r="L45" s="37">
        <v>47103</v>
      </c>
      <c r="M45" s="37">
        <v>47273</v>
      </c>
      <c r="O45" s="34">
        <f aca="true" t="shared" si="21" ref="O45:O51">+P45+Q45</f>
        <v>89975</v>
      </c>
      <c r="P45" s="37">
        <v>43975</v>
      </c>
      <c r="Q45" s="37">
        <f>45941+59</f>
        <v>46000</v>
      </c>
      <c r="S45" s="34">
        <f aca="true" t="shared" si="22" ref="S45:S51">+T45+U45</f>
        <v>115414</v>
      </c>
      <c r="T45" s="37">
        <v>50243</v>
      </c>
      <c r="U45" s="37">
        <v>65171</v>
      </c>
      <c r="W45" s="34">
        <f aca="true" t="shared" si="23" ref="W45:W51">+X45+Y45</f>
        <v>100921</v>
      </c>
      <c r="X45" s="37">
        <v>32700</v>
      </c>
      <c r="Y45" s="37">
        <v>68221</v>
      </c>
      <c r="AA45" s="34">
        <f aca="true" t="shared" si="24" ref="AA45:AA51">+AB45+AC45</f>
        <v>100790</v>
      </c>
      <c r="AB45" s="37">
        <v>38115</v>
      </c>
      <c r="AC45" s="37">
        <v>62675</v>
      </c>
      <c r="AE45" s="34">
        <f aca="true" t="shared" si="25" ref="AE45:AE51">+AF45+AG45</f>
        <v>94351</v>
      </c>
      <c r="AF45" s="37">
        <v>38244</v>
      </c>
      <c r="AG45" s="37">
        <v>56107</v>
      </c>
      <c r="AI45" s="34">
        <f aca="true" t="shared" si="26" ref="AI45:AI51">+AJ45+AK45</f>
        <v>80941</v>
      </c>
      <c r="AJ45" s="37">
        <v>36271</v>
      </c>
      <c r="AK45" s="37">
        <v>44670</v>
      </c>
    </row>
    <row r="46" spans="1:37" s="24" customFormat="1" ht="15" customHeight="1">
      <c r="A46" s="12" t="s">
        <v>0</v>
      </c>
      <c r="B46" s="21"/>
      <c r="C46" s="34">
        <f t="shared" si="18"/>
        <v>12787</v>
      </c>
      <c r="D46" s="37">
        <v>12411</v>
      </c>
      <c r="E46" s="37">
        <f>376+0</f>
        <v>376</v>
      </c>
      <c r="G46" s="34">
        <f t="shared" si="19"/>
        <v>12221</v>
      </c>
      <c r="H46" s="37">
        <v>12047</v>
      </c>
      <c r="I46" s="37">
        <f>174+0</f>
        <v>174</v>
      </c>
      <c r="K46" s="34">
        <f t="shared" si="20"/>
        <v>12120</v>
      </c>
      <c r="L46" s="37">
        <v>11845</v>
      </c>
      <c r="M46" s="37">
        <v>275</v>
      </c>
      <c r="O46" s="34">
        <f t="shared" si="21"/>
        <v>11178</v>
      </c>
      <c r="P46" s="37">
        <v>10990</v>
      </c>
      <c r="Q46" s="37">
        <v>188</v>
      </c>
      <c r="S46" s="34">
        <f t="shared" si="22"/>
        <v>10113</v>
      </c>
      <c r="T46" s="37">
        <v>9882</v>
      </c>
      <c r="U46" s="37">
        <v>231</v>
      </c>
      <c r="W46" s="34">
        <f t="shared" si="23"/>
        <v>10153</v>
      </c>
      <c r="X46" s="37">
        <v>9920</v>
      </c>
      <c r="Y46" s="37">
        <v>233</v>
      </c>
      <c r="AA46" s="34">
        <f t="shared" si="24"/>
        <v>8904</v>
      </c>
      <c r="AB46" s="37">
        <v>8538</v>
      </c>
      <c r="AC46" s="37">
        <v>366</v>
      </c>
      <c r="AE46" s="34">
        <f t="shared" si="25"/>
        <v>8947</v>
      </c>
      <c r="AF46" s="37">
        <v>8685</v>
      </c>
      <c r="AG46" s="37">
        <v>262</v>
      </c>
      <c r="AI46" s="34">
        <f t="shared" si="26"/>
        <v>7103</v>
      </c>
      <c r="AJ46" s="37">
        <v>6909</v>
      </c>
      <c r="AK46" s="37">
        <v>194</v>
      </c>
    </row>
    <row r="47" spans="1:37" s="24" customFormat="1" ht="15" customHeight="1">
      <c r="A47" s="12" t="s">
        <v>9</v>
      </c>
      <c r="B47" s="21"/>
      <c r="C47" s="34">
        <f t="shared" si="18"/>
        <v>0</v>
      </c>
      <c r="D47" s="28">
        <v>0</v>
      </c>
      <c r="E47" s="28">
        <v>0</v>
      </c>
      <c r="G47" s="34">
        <f t="shared" si="19"/>
        <v>0</v>
      </c>
      <c r="H47" s="28">
        <v>0</v>
      </c>
      <c r="I47" s="28">
        <v>0</v>
      </c>
      <c r="K47" s="34">
        <f t="shared" si="20"/>
        <v>0</v>
      </c>
      <c r="L47" s="28">
        <v>0</v>
      </c>
      <c r="M47" s="28">
        <v>0</v>
      </c>
      <c r="O47" s="34">
        <f t="shared" si="21"/>
        <v>1</v>
      </c>
      <c r="P47" s="28">
        <v>0</v>
      </c>
      <c r="Q47" s="37">
        <v>1</v>
      </c>
      <c r="S47" s="34">
        <f t="shared" si="22"/>
        <v>1</v>
      </c>
      <c r="T47" s="28">
        <v>0</v>
      </c>
      <c r="U47" s="37">
        <v>1</v>
      </c>
      <c r="W47" s="34">
        <f t="shared" si="23"/>
        <v>1</v>
      </c>
      <c r="X47" s="28">
        <v>0</v>
      </c>
      <c r="Y47" s="37">
        <v>1</v>
      </c>
      <c r="AA47" s="34">
        <f t="shared" si="24"/>
        <v>1</v>
      </c>
      <c r="AB47" s="28">
        <v>0</v>
      </c>
      <c r="AC47" s="37">
        <v>1</v>
      </c>
      <c r="AE47" s="34">
        <f t="shared" si="25"/>
        <v>1</v>
      </c>
      <c r="AF47" s="28">
        <v>0</v>
      </c>
      <c r="AG47" s="37">
        <v>1</v>
      </c>
      <c r="AI47" s="34">
        <f t="shared" si="26"/>
        <v>0</v>
      </c>
      <c r="AJ47" s="28">
        <v>0</v>
      </c>
      <c r="AK47" s="28">
        <v>0</v>
      </c>
    </row>
    <row r="48" spans="1:37" s="24" customFormat="1" ht="15" customHeight="1">
      <c r="A48" s="12" t="s">
        <v>2</v>
      </c>
      <c r="B48" s="21"/>
      <c r="C48" s="34">
        <f t="shared" si="18"/>
        <v>5359</v>
      </c>
      <c r="D48" s="37">
        <v>3062</v>
      </c>
      <c r="E48" s="37">
        <f>2297+0</f>
        <v>2297</v>
      </c>
      <c r="G48" s="34">
        <f t="shared" si="19"/>
        <v>5244</v>
      </c>
      <c r="H48" s="37">
        <v>3045</v>
      </c>
      <c r="I48" s="37">
        <f>2197+2</f>
        <v>2199</v>
      </c>
      <c r="K48" s="34">
        <f t="shared" si="20"/>
        <v>1707</v>
      </c>
      <c r="L48" s="37">
        <v>923</v>
      </c>
      <c r="M48" s="37">
        <f>782+2</f>
        <v>784</v>
      </c>
      <c r="O48" s="34">
        <f t="shared" si="21"/>
        <v>1537</v>
      </c>
      <c r="P48" s="37">
        <v>781</v>
      </c>
      <c r="Q48" s="37">
        <v>756</v>
      </c>
      <c r="S48" s="34">
        <f t="shared" si="22"/>
        <v>2560</v>
      </c>
      <c r="T48" s="37">
        <v>1658</v>
      </c>
      <c r="U48" s="37">
        <f>900+2</f>
        <v>902</v>
      </c>
      <c r="W48" s="34">
        <f t="shared" si="23"/>
        <v>2408</v>
      </c>
      <c r="X48" s="37">
        <v>1542</v>
      </c>
      <c r="Y48" s="37">
        <f>863+3</f>
        <v>866</v>
      </c>
      <c r="AA48" s="34">
        <f t="shared" si="24"/>
        <v>2426</v>
      </c>
      <c r="AB48" s="37">
        <v>1401</v>
      </c>
      <c r="AC48" s="37">
        <f>1021+4</f>
        <v>1025</v>
      </c>
      <c r="AE48" s="34">
        <f t="shared" si="25"/>
        <v>2176</v>
      </c>
      <c r="AF48" s="37">
        <v>1708</v>
      </c>
      <c r="AG48" s="37">
        <f>460+8</f>
        <v>468</v>
      </c>
      <c r="AI48" s="34">
        <f t="shared" si="26"/>
        <v>2706</v>
      </c>
      <c r="AJ48" s="37">
        <v>1923</v>
      </c>
      <c r="AK48" s="37">
        <f>396+387</f>
        <v>783</v>
      </c>
    </row>
    <row r="49" spans="1:37" s="24" customFormat="1" ht="15" customHeight="1">
      <c r="A49" s="12" t="s">
        <v>3</v>
      </c>
      <c r="B49" s="21"/>
      <c r="C49" s="34">
        <f t="shared" si="18"/>
        <v>142</v>
      </c>
      <c r="D49" s="37">
        <v>8</v>
      </c>
      <c r="E49" s="28">
        <f>134+0</f>
        <v>134</v>
      </c>
      <c r="G49" s="34">
        <f t="shared" si="19"/>
        <v>183</v>
      </c>
      <c r="H49" s="37">
        <v>62</v>
      </c>
      <c r="I49" s="28">
        <f>121+0</f>
        <v>121</v>
      </c>
      <c r="K49" s="34">
        <f t="shared" si="20"/>
        <v>191</v>
      </c>
      <c r="L49" s="37">
        <v>58</v>
      </c>
      <c r="M49" s="28">
        <v>133</v>
      </c>
      <c r="O49" s="34">
        <f t="shared" si="21"/>
        <v>179</v>
      </c>
      <c r="P49" s="37">
        <v>54</v>
      </c>
      <c r="Q49" s="28">
        <v>125</v>
      </c>
      <c r="S49" s="34">
        <f t="shared" si="22"/>
        <v>155</v>
      </c>
      <c r="T49" s="37">
        <v>65</v>
      </c>
      <c r="U49" s="28">
        <v>90</v>
      </c>
      <c r="W49" s="34">
        <f t="shared" si="23"/>
        <v>232</v>
      </c>
      <c r="X49" s="37">
        <v>133</v>
      </c>
      <c r="Y49" s="28">
        <v>99</v>
      </c>
      <c r="AA49" s="34">
        <f t="shared" si="24"/>
        <v>352</v>
      </c>
      <c r="AB49" s="37">
        <v>240</v>
      </c>
      <c r="AC49" s="28">
        <v>112</v>
      </c>
      <c r="AE49" s="34">
        <f t="shared" si="25"/>
        <v>543</v>
      </c>
      <c r="AF49" s="37">
        <v>329</v>
      </c>
      <c r="AG49" s="28">
        <v>214</v>
      </c>
      <c r="AI49" s="34">
        <f t="shared" si="26"/>
        <v>615</v>
      </c>
      <c r="AJ49" s="37">
        <v>478</v>
      </c>
      <c r="AK49" s="28">
        <v>137</v>
      </c>
    </row>
    <row r="50" spans="1:37" s="24" customFormat="1" ht="15" customHeight="1">
      <c r="A50" s="12" t="s">
        <v>1</v>
      </c>
      <c r="B50" s="23"/>
      <c r="C50" s="34">
        <f t="shared" si="18"/>
        <v>260</v>
      </c>
      <c r="D50" s="37">
        <v>32</v>
      </c>
      <c r="E50" s="37">
        <f>51+177</f>
        <v>228</v>
      </c>
      <c r="G50" s="34">
        <f t="shared" si="19"/>
        <v>327</v>
      </c>
      <c r="H50" s="37">
        <v>76</v>
      </c>
      <c r="I50" s="37">
        <f>58+193</f>
        <v>251</v>
      </c>
      <c r="K50" s="34">
        <f t="shared" si="20"/>
        <v>398</v>
      </c>
      <c r="L50" s="37">
        <v>125</v>
      </c>
      <c r="M50" s="37">
        <f>63+210</f>
        <v>273</v>
      </c>
      <c r="O50" s="34">
        <f t="shared" si="21"/>
        <v>419</v>
      </c>
      <c r="P50" s="37">
        <v>151</v>
      </c>
      <c r="Q50" s="37">
        <f>41+227</f>
        <v>268</v>
      </c>
      <c r="S50" s="34">
        <f t="shared" si="22"/>
        <v>477</v>
      </c>
      <c r="T50" s="37">
        <v>191</v>
      </c>
      <c r="U50" s="37">
        <f>43+243</f>
        <v>286</v>
      </c>
      <c r="W50" s="34">
        <f t="shared" si="23"/>
        <v>522</v>
      </c>
      <c r="X50" s="37">
        <v>220</v>
      </c>
      <c r="Y50" s="37">
        <f>46+256</f>
        <v>302</v>
      </c>
      <c r="AA50" s="34">
        <f t="shared" si="24"/>
        <v>533</v>
      </c>
      <c r="AB50" s="37">
        <v>201</v>
      </c>
      <c r="AC50" s="37">
        <f>68+264</f>
        <v>332</v>
      </c>
      <c r="AE50" s="34">
        <f t="shared" si="25"/>
        <v>494</v>
      </c>
      <c r="AF50" s="37">
        <v>121</v>
      </c>
      <c r="AG50" s="37">
        <f>105+268</f>
        <v>373</v>
      </c>
      <c r="AI50" s="34">
        <f t="shared" si="26"/>
        <v>468</v>
      </c>
      <c r="AJ50" s="37">
        <v>83</v>
      </c>
      <c r="AK50" s="37">
        <f>117+268</f>
        <v>385</v>
      </c>
    </row>
    <row r="51" spans="1:37" s="24" customFormat="1" ht="15" customHeight="1">
      <c r="A51" s="12" t="s">
        <v>19</v>
      </c>
      <c r="B51" s="23"/>
      <c r="C51" s="34">
        <f t="shared" si="18"/>
        <v>14</v>
      </c>
      <c r="D51" s="28">
        <v>0</v>
      </c>
      <c r="E51" s="37">
        <f>13+1</f>
        <v>14</v>
      </c>
      <c r="G51" s="34">
        <f t="shared" si="19"/>
        <v>15</v>
      </c>
      <c r="H51" s="28">
        <v>0</v>
      </c>
      <c r="I51" s="37">
        <f>11+3+0+1</f>
        <v>15</v>
      </c>
      <c r="K51" s="34">
        <f t="shared" si="20"/>
        <v>17</v>
      </c>
      <c r="L51" s="28">
        <v>0</v>
      </c>
      <c r="M51" s="37">
        <f>13+3+1</f>
        <v>17</v>
      </c>
      <c r="O51" s="34">
        <f t="shared" si="21"/>
        <v>14</v>
      </c>
      <c r="P51" s="28">
        <v>0</v>
      </c>
      <c r="Q51" s="37">
        <f>10+3+1</f>
        <v>14</v>
      </c>
      <c r="S51" s="34">
        <f t="shared" si="22"/>
        <v>21</v>
      </c>
      <c r="T51" s="28">
        <v>0</v>
      </c>
      <c r="U51" s="37">
        <f>17+3+1</f>
        <v>21</v>
      </c>
      <c r="W51" s="34">
        <f t="shared" si="23"/>
        <v>41</v>
      </c>
      <c r="X51" s="28">
        <v>1</v>
      </c>
      <c r="Y51" s="37">
        <f>31+8+1</f>
        <v>40</v>
      </c>
      <c r="AA51" s="34">
        <f t="shared" si="24"/>
        <v>53</v>
      </c>
      <c r="AB51" s="28">
        <v>0</v>
      </c>
      <c r="AC51" s="37">
        <f>38+15</f>
        <v>53</v>
      </c>
      <c r="AE51" s="34">
        <f t="shared" si="25"/>
        <v>52</v>
      </c>
      <c r="AF51" s="28">
        <v>0</v>
      </c>
      <c r="AG51" s="37">
        <f>30+22</f>
        <v>52</v>
      </c>
      <c r="AI51" s="34">
        <f t="shared" si="26"/>
        <v>51</v>
      </c>
      <c r="AJ51" s="28">
        <v>0</v>
      </c>
      <c r="AK51" s="37">
        <f>27+24</f>
        <v>51</v>
      </c>
    </row>
    <row r="52" spans="1:2" s="24" customFormat="1" ht="15" customHeight="1">
      <c r="A52" s="12"/>
      <c r="B52" s="23"/>
    </row>
    <row r="53" spans="1:2" s="24" customFormat="1" ht="15" customHeight="1">
      <c r="A53" s="12"/>
      <c r="B53" s="23"/>
    </row>
    <row r="55" spans="1:37" ht="15" customHeight="1">
      <c r="A55" s="4"/>
      <c r="C55" s="89" t="s">
        <v>78</v>
      </c>
      <c r="D55" s="89"/>
      <c r="E55" s="89"/>
      <c r="G55" s="89" t="s">
        <v>79</v>
      </c>
      <c r="H55" s="89"/>
      <c r="I55" s="89"/>
      <c r="K55" s="89" t="s">
        <v>80</v>
      </c>
      <c r="L55" s="89"/>
      <c r="M55" s="89"/>
      <c r="O55" s="89" t="s">
        <v>81</v>
      </c>
      <c r="P55" s="89"/>
      <c r="Q55" s="89"/>
      <c r="S55" s="89" t="s">
        <v>82</v>
      </c>
      <c r="T55" s="89"/>
      <c r="U55" s="89"/>
      <c r="W55" s="89" t="s">
        <v>84</v>
      </c>
      <c r="X55" s="89"/>
      <c r="Y55" s="89"/>
      <c r="AA55" s="89" t="s">
        <v>85</v>
      </c>
      <c r="AB55" s="89"/>
      <c r="AC55" s="89"/>
      <c r="AE55" s="89" t="s">
        <v>86</v>
      </c>
      <c r="AF55" s="89"/>
      <c r="AG55" s="89"/>
      <c r="AI55" s="89" t="s">
        <v>88</v>
      </c>
      <c r="AJ55" s="89"/>
      <c r="AK55" s="89"/>
    </row>
    <row r="56" spans="3:37" ht="15" customHeight="1" thickBot="1">
      <c r="C56" s="1" t="s">
        <v>5</v>
      </c>
      <c r="D56" s="1" t="s">
        <v>8</v>
      </c>
      <c r="E56" s="1" t="s">
        <v>7</v>
      </c>
      <c r="G56" s="1" t="s">
        <v>5</v>
      </c>
      <c r="H56" s="1" t="s">
        <v>8</v>
      </c>
      <c r="I56" s="1" t="s">
        <v>7</v>
      </c>
      <c r="K56" s="1" t="s">
        <v>5</v>
      </c>
      <c r="L56" s="1" t="s">
        <v>8</v>
      </c>
      <c r="M56" s="1" t="s">
        <v>7</v>
      </c>
      <c r="O56" s="1" t="s">
        <v>5</v>
      </c>
      <c r="P56" s="1" t="s">
        <v>8</v>
      </c>
      <c r="Q56" s="1" t="s">
        <v>7</v>
      </c>
      <c r="S56" s="1" t="s">
        <v>5</v>
      </c>
      <c r="T56" s="1" t="s">
        <v>8</v>
      </c>
      <c r="U56" s="1" t="s">
        <v>7</v>
      </c>
      <c r="W56" s="1" t="s">
        <v>5</v>
      </c>
      <c r="X56" s="1" t="s">
        <v>8</v>
      </c>
      <c r="Y56" s="1" t="s">
        <v>7</v>
      </c>
      <c r="AA56" s="1" t="s">
        <v>5</v>
      </c>
      <c r="AB56" s="1" t="s">
        <v>8</v>
      </c>
      <c r="AC56" s="1" t="s">
        <v>7</v>
      </c>
      <c r="AE56" s="1" t="s">
        <v>5</v>
      </c>
      <c r="AF56" s="1" t="s">
        <v>8</v>
      </c>
      <c r="AG56" s="1" t="s">
        <v>7</v>
      </c>
      <c r="AI56" s="1" t="s">
        <v>5</v>
      </c>
      <c r="AJ56" s="1" t="s">
        <v>8</v>
      </c>
      <c r="AK56" s="1" t="s">
        <v>7</v>
      </c>
    </row>
    <row r="57" spans="1:37" ht="18" customHeight="1" thickTop="1">
      <c r="A57" s="5" t="s">
        <v>53</v>
      </c>
      <c r="B57" s="27"/>
      <c r="C57" s="36">
        <f>C59+C63</f>
        <v>606715</v>
      </c>
      <c r="D57" s="36">
        <f>D59+D63</f>
        <v>415568</v>
      </c>
      <c r="E57" s="36">
        <f>E59+E63</f>
        <v>191147</v>
      </c>
      <c r="G57" s="36">
        <f>G59+G63</f>
        <v>585637</v>
      </c>
      <c r="H57" s="36">
        <f>H59+H63</f>
        <v>384827</v>
      </c>
      <c r="I57" s="36">
        <f>I59+I63</f>
        <v>200810</v>
      </c>
      <c r="K57" s="36">
        <f>K59+K63</f>
        <v>553353</v>
      </c>
      <c r="L57" s="36">
        <f>L59+L63</f>
        <v>354840</v>
      </c>
      <c r="M57" s="36">
        <f>M59+M63</f>
        <v>198513</v>
      </c>
      <c r="O57" s="36">
        <f>O59+O63</f>
        <v>520777</v>
      </c>
      <c r="P57" s="36">
        <f>P59+P63</f>
        <v>343411</v>
      </c>
      <c r="Q57" s="36">
        <f>Q59+Q63</f>
        <v>177366</v>
      </c>
      <c r="S57" s="36">
        <f>S59+S63</f>
        <v>531369</v>
      </c>
      <c r="T57" s="36">
        <f>T59+T63</f>
        <v>355107</v>
      </c>
      <c r="U57" s="36">
        <f>U59+U63</f>
        <v>176262</v>
      </c>
      <c r="W57" s="36">
        <f>W59+W63</f>
        <v>524209</v>
      </c>
      <c r="X57" s="36">
        <f>X59+X63</f>
        <v>338083</v>
      </c>
      <c r="Y57" s="36">
        <f>Y59+Y63</f>
        <v>186126</v>
      </c>
      <c r="AA57" s="36">
        <f>AA59+AA63</f>
        <v>488919</v>
      </c>
      <c r="AB57" s="36">
        <f>AB59+AB63</f>
        <v>309146</v>
      </c>
      <c r="AC57" s="36">
        <f>AC59+AC63</f>
        <v>179773</v>
      </c>
      <c r="AE57" s="36">
        <f>AE59+AE63</f>
        <v>469039</v>
      </c>
      <c r="AF57" s="36">
        <f>AF59+AF63</f>
        <v>318179</v>
      </c>
      <c r="AG57" s="36">
        <f>AG59+AG63</f>
        <v>150860</v>
      </c>
      <c r="AI57" s="36">
        <f>AI59+AI63</f>
        <v>474052</v>
      </c>
      <c r="AJ57" s="36">
        <f>AJ59+AJ63</f>
        <v>311834</v>
      </c>
      <c r="AK57" s="36">
        <f>AK59+AK63</f>
        <v>162218</v>
      </c>
    </row>
    <row r="58" ht="12.75" customHeight="1">
      <c r="A58" s="6"/>
    </row>
    <row r="59" spans="1:37" s="28" customFormat="1" ht="15" customHeight="1">
      <c r="A59" s="7" t="s">
        <v>43</v>
      </c>
      <c r="C59" s="32">
        <f>C60+C61</f>
        <v>603616</v>
      </c>
      <c r="D59" s="32">
        <f>D60+D61</f>
        <v>415465</v>
      </c>
      <c r="E59" s="32">
        <f>E60+E61</f>
        <v>188151</v>
      </c>
      <c r="G59" s="32">
        <f>G60+G61</f>
        <v>582533</v>
      </c>
      <c r="H59" s="32">
        <f>H60+H61</f>
        <v>384736</v>
      </c>
      <c r="I59" s="32">
        <f>I60+I61</f>
        <v>197797</v>
      </c>
      <c r="K59" s="32">
        <f>K60+K61</f>
        <v>550289</v>
      </c>
      <c r="L59" s="32">
        <f>L60+L61</f>
        <v>354755</v>
      </c>
      <c r="M59" s="32">
        <f>M60+M61</f>
        <v>195534</v>
      </c>
      <c r="O59" s="32">
        <f>O60+O61</f>
        <v>517534</v>
      </c>
      <c r="P59" s="32">
        <f>P60+P61</f>
        <v>343298</v>
      </c>
      <c r="Q59" s="32">
        <f>Q60+Q61</f>
        <v>174236</v>
      </c>
      <c r="S59" s="32">
        <f>S60+S61</f>
        <v>528130</v>
      </c>
      <c r="T59" s="32">
        <f>T60+T61</f>
        <v>354965</v>
      </c>
      <c r="U59" s="32">
        <f>U60+U61</f>
        <v>173165</v>
      </c>
      <c r="W59" s="32">
        <f>W60+W61</f>
        <v>520985</v>
      </c>
      <c r="X59" s="32">
        <f>X60+X61</f>
        <v>337922</v>
      </c>
      <c r="Y59" s="32">
        <f>Y60+Y61</f>
        <v>183063</v>
      </c>
      <c r="AA59" s="32">
        <f>AA60+AA61</f>
        <v>486718</v>
      </c>
      <c r="AB59" s="32">
        <f>AB60+AB61</f>
        <v>309006</v>
      </c>
      <c r="AC59" s="32">
        <f>AC60+AC61</f>
        <v>177712</v>
      </c>
      <c r="AE59" s="32">
        <f>AE60+AE61</f>
        <v>466993</v>
      </c>
      <c r="AF59" s="32">
        <f>AF60+AF61</f>
        <v>318041</v>
      </c>
      <c r="AG59" s="32">
        <f>AG60+AG61</f>
        <v>148952</v>
      </c>
      <c r="AI59" s="32">
        <f>AI60+AI61</f>
        <v>471635</v>
      </c>
      <c r="AJ59" s="32">
        <f>AJ60+AJ61</f>
        <v>311692</v>
      </c>
      <c r="AK59" s="32">
        <f>AK60+AK61</f>
        <v>159943</v>
      </c>
    </row>
    <row r="60" spans="1:37" s="28" customFormat="1" ht="15" customHeight="1">
      <c r="A60" s="9" t="s">
        <v>54</v>
      </c>
      <c r="B60" s="25"/>
      <c r="C60" s="37">
        <f>D60+E60</f>
        <v>46285</v>
      </c>
      <c r="D60" s="37">
        <f>D68</f>
        <v>3591</v>
      </c>
      <c r="E60" s="37">
        <f>E68</f>
        <v>42694</v>
      </c>
      <c r="G60" s="37">
        <f>H60+I60</f>
        <v>53463</v>
      </c>
      <c r="H60" s="37">
        <f>H68</f>
        <v>7886</v>
      </c>
      <c r="I60" s="37">
        <f>I68</f>
        <v>45577</v>
      </c>
      <c r="K60" s="37">
        <f>L60+M60</f>
        <v>66066</v>
      </c>
      <c r="L60" s="37">
        <f>L68</f>
        <v>7641</v>
      </c>
      <c r="M60" s="37">
        <f>M68</f>
        <v>58425</v>
      </c>
      <c r="O60" s="37">
        <f>P60+Q60</f>
        <v>46735</v>
      </c>
      <c r="P60" s="37">
        <f>P68</f>
        <v>5000</v>
      </c>
      <c r="Q60" s="37">
        <f>Q68</f>
        <v>41735</v>
      </c>
      <c r="S60" s="37">
        <f>T60+U60</f>
        <v>45500</v>
      </c>
      <c r="T60" s="37">
        <f>T68</f>
        <v>3515</v>
      </c>
      <c r="U60" s="37">
        <f>U68</f>
        <v>41985</v>
      </c>
      <c r="W60" s="37">
        <f>X60+Y60</f>
        <v>53886</v>
      </c>
      <c r="X60" s="37">
        <f>X68</f>
        <v>6269</v>
      </c>
      <c r="Y60" s="37">
        <f>Y68</f>
        <v>47617</v>
      </c>
      <c r="AA60" s="37">
        <f>AB60+AC60</f>
        <v>48404</v>
      </c>
      <c r="AB60" s="37">
        <f>AB68</f>
        <v>6176</v>
      </c>
      <c r="AC60" s="37">
        <f>AC68</f>
        <v>42228</v>
      </c>
      <c r="AE60" s="37">
        <f>AF60+AG60</f>
        <v>42700</v>
      </c>
      <c r="AF60" s="37">
        <f>AF68</f>
        <v>3892</v>
      </c>
      <c r="AG60" s="37">
        <f>AG68</f>
        <v>38808</v>
      </c>
      <c r="AI60" s="37">
        <f>AJ60+AK60</f>
        <v>43477</v>
      </c>
      <c r="AJ60" s="37">
        <f>AJ68</f>
        <v>6090</v>
      </c>
      <c r="AK60" s="37">
        <f>AK68</f>
        <v>37387</v>
      </c>
    </row>
    <row r="61" spans="1:37" s="28" customFormat="1" ht="15" customHeight="1">
      <c r="A61" s="9" t="s">
        <v>56</v>
      </c>
      <c r="B61" s="25"/>
      <c r="C61" s="37">
        <f>D61+E61</f>
        <v>557331</v>
      </c>
      <c r="D61" s="37">
        <f>D73</f>
        <v>411874</v>
      </c>
      <c r="E61" s="37">
        <f>E73</f>
        <v>145457</v>
      </c>
      <c r="G61" s="37">
        <f>H61+I61</f>
        <v>529070</v>
      </c>
      <c r="H61" s="37">
        <f>H73</f>
        <v>376850</v>
      </c>
      <c r="I61" s="37">
        <f>I73</f>
        <v>152220</v>
      </c>
      <c r="K61" s="37">
        <f>L61+M61</f>
        <v>484223</v>
      </c>
      <c r="L61" s="37">
        <f>L73</f>
        <v>347114</v>
      </c>
      <c r="M61" s="37">
        <f>M73</f>
        <v>137109</v>
      </c>
      <c r="O61" s="37">
        <f>P61+Q61</f>
        <v>470799</v>
      </c>
      <c r="P61" s="37">
        <f>P73</f>
        <v>338298</v>
      </c>
      <c r="Q61" s="37">
        <f>Q73</f>
        <v>132501</v>
      </c>
      <c r="S61" s="37">
        <f>T61+U61</f>
        <v>482630</v>
      </c>
      <c r="T61" s="37">
        <f>T73</f>
        <v>351450</v>
      </c>
      <c r="U61" s="37">
        <f>U73</f>
        <v>131180</v>
      </c>
      <c r="W61" s="37">
        <f>X61+Y61</f>
        <v>467099</v>
      </c>
      <c r="X61" s="37">
        <f>X73</f>
        <v>331653</v>
      </c>
      <c r="Y61" s="37">
        <f>Y73</f>
        <v>135446</v>
      </c>
      <c r="AA61" s="37">
        <f>AB61+AC61</f>
        <v>438314</v>
      </c>
      <c r="AB61" s="37">
        <f>AB73</f>
        <v>302830</v>
      </c>
      <c r="AC61" s="37">
        <f>AC73</f>
        <v>135484</v>
      </c>
      <c r="AE61" s="37">
        <f>AF61+AG61</f>
        <v>424293</v>
      </c>
      <c r="AF61" s="37">
        <f>AF73</f>
        <v>314149</v>
      </c>
      <c r="AG61" s="37">
        <f>AG73</f>
        <v>110144</v>
      </c>
      <c r="AI61" s="37">
        <f>AJ61+AK61</f>
        <v>428158</v>
      </c>
      <c r="AJ61" s="37">
        <f>AJ73</f>
        <v>305602</v>
      </c>
      <c r="AK61" s="37">
        <f>AK73</f>
        <v>122556</v>
      </c>
    </row>
    <row r="62" s="28" customFormat="1" ht="7.5" customHeight="1">
      <c r="A62" s="9"/>
    </row>
    <row r="63" spans="1:37" s="28" customFormat="1" ht="15" customHeight="1">
      <c r="A63" s="7" t="s">
        <v>73</v>
      </c>
      <c r="C63" s="33">
        <f>SUM(C64:C66)</f>
        <v>3099</v>
      </c>
      <c r="D63" s="32">
        <f>C63-E63</f>
        <v>103</v>
      </c>
      <c r="E63" s="33">
        <f>SUM(E64:E66)</f>
        <v>2996</v>
      </c>
      <c r="G63" s="33">
        <f>SUM(G64:G66)</f>
        <v>3104</v>
      </c>
      <c r="H63" s="32">
        <f>G63-I63</f>
        <v>91</v>
      </c>
      <c r="I63" s="33">
        <f>SUM(I64:I66)</f>
        <v>3013</v>
      </c>
      <c r="K63" s="33">
        <f>SUM(K64:K66)</f>
        <v>3064</v>
      </c>
      <c r="L63" s="32">
        <f>K63-M63</f>
        <v>85</v>
      </c>
      <c r="M63" s="33">
        <f>SUM(M64:M66)</f>
        <v>2979</v>
      </c>
      <c r="O63" s="33">
        <f>SUM(O64:O66)</f>
        <v>3243</v>
      </c>
      <c r="P63" s="32">
        <f>O63-Q63</f>
        <v>113</v>
      </c>
      <c r="Q63" s="33">
        <f>SUM(Q64:Q66)</f>
        <v>3130</v>
      </c>
      <c r="S63" s="33">
        <f>SUM(S64:S66)</f>
        <v>3239</v>
      </c>
      <c r="T63" s="32">
        <f>S63-U63</f>
        <v>142</v>
      </c>
      <c r="U63" s="33">
        <f>SUM(U64:U66)</f>
        <v>3097</v>
      </c>
      <c r="W63" s="33">
        <f>SUM(W64:W66)</f>
        <v>3224</v>
      </c>
      <c r="X63" s="32">
        <f>W63-Y63</f>
        <v>161</v>
      </c>
      <c r="Y63" s="33">
        <f>SUM(Y64:Y66)</f>
        <v>3063</v>
      </c>
      <c r="AA63" s="33">
        <f>SUM(AA64:AA66)</f>
        <v>2201</v>
      </c>
      <c r="AB63" s="32">
        <f>AA63-AC63</f>
        <v>140</v>
      </c>
      <c r="AC63" s="33">
        <f>SUM(AC64:AC66)</f>
        <v>2061</v>
      </c>
      <c r="AE63" s="33">
        <f>SUM(AE64:AE66)</f>
        <v>2046</v>
      </c>
      <c r="AF63" s="32">
        <f>AE63-AG63</f>
        <v>138</v>
      </c>
      <c r="AG63" s="33">
        <f>SUM(AG64:AG66)</f>
        <v>1908</v>
      </c>
      <c r="AI63" s="33">
        <f>SUM(AI64:AI66)</f>
        <v>2417</v>
      </c>
      <c r="AJ63" s="32">
        <f>AI63-AK63</f>
        <v>142</v>
      </c>
      <c r="AK63" s="33">
        <f>SUM(AK64:AK66)</f>
        <v>2275</v>
      </c>
    </row>
    <row r="64" spans="1:37" s="28" customFormat="1" ht="15" customHeight="1">
      <c r="A64" s="9" t="s">
        <v>59</v>
      </c>
      <c r="B64" s="25"/>
      <c r="C64" s="34">
        <f>+D64+E64</f>
        <v>2858</v>
      </c>
      <c r="D64" s="37">
        <v>77</v>
      </c>
      <c r="E64" s="37">
        <f>2755+26</f>
        <v>2781</v>
      </c>
      <c r="G64" s="34">
        <f>+H64+I64</f>
        <v>2883</v>
      </c>
      <c r="H64" s="37">
        <v>75</v>
      </c>
      <c r="I64" s="37">
        <f>2784+24</f>
        <v>2808</v>
      </c>
      <c r="K64" s="34">
        <f>+L64+M64</f>
        <v>2849</v>
      </c>
      <c r="L64" s="37">
        <v>72</v>
      </c>
      <c r="M64" s="37">
        <f>2752+25</f>
        <v>2777</v>
      </c>
      <c r="O64" s="34">
        <f>+P64+Q64</f>
        <v>3014</v>
      </c>
      <c r="P64" s="37">
        <v>96</v>
      </c>
      <c r="Q64" s="37">
        <f>2893+25</f>
        <v>2918</v>
      </c>
      <c r="S64" s="34">
        <f>+T64+U64</f>
        <v>2990</v>
      </c>
      <c r="T64" s="37">
        <v>103</v>
      </c>
      <c r="U64" s="37">
        <f>2863+24</f>
        <v>2887</v>
      </c>
      <c r="W64" s="34">
        <f>+X64+Y64</f>
        <v>2987</v>
      </c>
      <c r="X64" s="37">
        <v>145</v>
      </c>
      <c r="Y64" s="37">
        <f>2818+24</f>
        <v>2842</v>
      </c>
      <c r="AA64" s="34">
        <f>+AB64+AC64</f>
        <v>1962</v>
      </c>
      <c r="AB64" s="37">
        <v>125</v>
      </c>
      <c r="AC64" s="37">
        <f>1812+25</f>
        <v>1837</v>
      </c>
      <c r="AE64" s="34">
        <f>+AF64+AG64</f>
        <v>2031</v>
      </c>
      <c r="AF64" s="37">
        <v>124</v>
      </c>
      <c r="AG64" s="37">
        <f>1884+23</f>
        <v>1907</v>
      </c>
      <c r="AI64" s="34">
        <f>+AJ64+AK64</f>
        <v>2159</v>
      </c>
      <c r="AJ64" s="37">
        <v>130</v>
      </c>
      <c r="AK64" s="37">
        <f>2003+26</f>
        <v>2029</v>
      </c>
    </row>
    <row r="65" spans="1:37" s="28" customFormat="1" ht="15" customHeight="1">
      <c r="A65" s="9" t="s">
        <v>60</v>
      </c>
      <c r="B65" s="25"/>
      <c r="C65" s="34">
        <f>+D65+E65</f>
        <v>0</v>
      </c>
      <c r="D65" s="28">
        <v>0</v>
      </c>
      <c r="E65" s="28">
        <v>0</v>
      </c>
      <c r="G65" s="34">
        <f>+H65+I65</f>
        <v>0</v>
      </c>
      <c r="H65" s="28">
        <v>0</v>
      </c>
      <c r="I65" s="28">
        <v>0</v>
      </c>
      <c r="K65" s="34">
        <f>+L65+M65</f>
        <v>0</v>
      </c>
      <c r="L65" s="28">
        <v>0</v>
      </c>
      <c r="M65" s="28">
        <v>0</v>
      </c>
      <c r="O65" s="34">
        <f>+P65+Q65</f>
        <v>0</v>
      </c>
      <c r="P65" s="28">
        <v>0</v>
      </c>
      <c r="Q65" s="28">
        <v>0</v>
      </c>
      <c r="S65" s="34">
        <f>+T65+U65</f>
        <v>0</v>
      </c>
      <c r="T65" s="28">
        <v>0</v>
      </c>
      <c r="U65" s="28">
        <v>0</v>
      </c>
      <c r="W65" s="34">
        <f>+X65+Y65</f>
        <v>0</v>
      </c>
      <c r="X65" s="28">
        <v>0</v>
      </c>
      <c r="Y65" s="28">
        <v>0</v>
      </c>
      <c r="AA65" s="34">
        <f>+AB65+AC65</f>
        <v>0</v>
      </c>
      <c r="AB65" s="28">
        <v>0</v>
      </c>
      <c r="AC65" s="28">
        <v>0</v>
      </c>
      <c r="AE65" s="34">
        <f>+AF65+AG65</f>
        <v>0</v>
      </c>
      <c r="AF65" s="28">
        <v>0</v>
      </c>
      <c r="AG65" s="28">
        <v>0</v>
      </c>
      <c r="AI65" s="34">
        <f>+AJ65+AK65</f>
        <v>0</v>
      </c>
      <c r="AJ65" s="28">
        <v>0</v>
      </c>
      <c r="AK65" s="28">
        <v>0</v>
      </c>
    </row>
    <row r="66" spans="1:37" s="28" customFormat="1" ht="15" customHeight="1">
      <c r="A66" s="9" t="s">
        <v>61</v>
      </c>
      <c r="B66" s="25"/>
      <c r="C66" s="34">
        <f>+D66+E66</f>
        <v>241</v>
      </c>
      <c r="D66" s="37">
        <v>26</v>
      </c>
      <c r="E66" s="37">
        <f>9+206</f>
        <v>215</v>
      </c>
      <c r="G66" s="34">
        <f>+H66+I66</f>
        <v>221</v>
      </c>
      <c r="H66" s="37">
        <v>16</v>
      </c>
      <c r="I66" s="37">
        <f>203+2</f>
        <v>205</v>
      </c>
      <c r="K66" s="34">
        <f>+L66+M66</f>
        <v>215</v>
      </c>
      <c r="L66" s="37">
        <v>13</v>
      </c>
      <c r="M66" s="37">
        <f>9+193</f>
        <v>202</v>
      </c>
      <c r="O66" s="34">
        <f>+P66+Q66</f>
        <v>229</v>
      </c>
      <c r="P66" s="37">
        <v>17</v>
      </c>
      <c r="Q66" s="37">
        <f>9+203</f>
        <v>212</v>
      </c>
      <c r="S66" s="34">
        <f>+T66+U66</f>
        <v>249</v>
      </c>
      <c r="T66" s="37">
        <v>39</v>
      </c>
      <c r="U66" s="37">
        <f>8+202</f>
        <v>210</v>
      </c>
      <c r="W66" s="34">
        <f>+X66+Y66</f>
        <v>237</v>
      </c>
      <c r="X66" s="37">
        <v>16</v>
      </c>
      <c r="Y66" s="28">
        <f>12+209</f>
        <v>221</v>
      </c>
      <c r="AA66" s="34">
        <f>+AB66+AC66</f>
        <v>239</v>
      </c>
      <c r="AB66" s="37">
        <v>15</v>
      </c>
      <c r="AC66" s="28">
        <f>11+213</f>
        <v>224</v>
      </c>
      <c r="AE66" s="34">
        <f>+AF66+AG66</f>
        <v>15</v>
      </c>
      <c r="AF66" s="37">
        <v>14</v>
      </c>
      <c r="AG66" s="28">
        <v>1</v>
      </c>
      <c r="AI66" s="34">
        <f>+AJ66+AK66</f>
        <v>258</v>
      </c>
      <c r="AJ66" s="37">
        <v>12</v>
      </c>
      <c r="AK66" s="28">
        <f>6+240</f>
        <v>246</v>
      </c>
    </row>
    <row r="67" spans="1:2" s="28" customFormat="1" ht="15" customHeight="1">
      <c r="A67" s="7"/>
      <c r="B67" s="25"/>
    </row>
    <row r="68" spans="1:37" ht="18" customHeight="1">
      <c r="A68" s="7" t="s">
        <v>74</v>
      </c>
      <c r="C68" s="32">
        <f>SUM(C69:C71)</f>
        <v>46285</v>
      </c>
      <c r="D68" s="32">
        <f>SUM(D69:D71)</f>
        <v>3591</v>
      </c>
      <c r="E68" s="32">
        <f>SUM(E69:E71)</f>
        <v>42694</v>
      </c>
      <c r="G68" s="32">
        <f>SUM(G69:G71)</f>
        <v>53463</v>
      </c>
      <c r="H68" s="32">
        <f>SUM(H69:H71)</f>
        <v>7886</v>
      </c>
      <c r="I68" s="32">
        <f>SUM(I69:I71)</f>
        <v>45577</v>
      </c>
      <c r="K68" s="32">
        <f>SUM(K69:K71)</f>
        <v>66066</v>
      </c>
      <c r="L68" s="32">
        <f>SUM(L69:L71)</f>
        <v>7641</v>
      </c>
      <c r="M68" s="32">
        <f>SUM(M69:M71)</f>
        <v>58425</v>
      </c>
      <c r="O68" s="32">
        <f>SUM(O69:O71)</f>
        <v>46735</v>
      </c>
      <c r="P68" s="32">
        <f>SUM(P69:P71)</f>
        <v>5000</v>
      </c>
      <c r="Q68" s="32">
        <f>SUM(Q69:Q71)</f>
        <v>41735</v>
      </c>
      <c r="S68" s="32">
        <f>SUM(S69:S71)</f>
        <v>45500</v>
      </c>
      <c r="T68" s="32">
        <f>SUM(T69:T71)</f>
        <v>3515</v>
      </c>
      <c r="U68" s="32">
        <f>SUM(U69:U71)</f>
        <v>41985</v>
      </c>
      <c r="W68" s="32">
        <f>SUM(W69:W71)</f>
        <v>53886</v>
      </c>
      <c r="X68" s="32">
        <f>SUM(X69:X71)</f>
        <v>6269</v>
      </c>
      <c r="Y68" s="32">
        <f>SUM(Y69:Y71)</f>
        <v>47617</v>
      </c>
      <c r="AA68" s="32">
        <f>SUM(AA69:AA71)</f>
        <v>48404</v>
      </c>
      <c r="AB68" s="32">
        <f>SUM(AB69:AB71)</f>
        <v>6176</v>
      </c>
      <c r="AC68" s="32">
        <f>SUM(AC69:AC71)</f>
        <v>42228</v>
      </c>
      <c r="AE68" s="32">
        <f>SUM(AE69:AE71)</f>
        <v>42700</v>
      </c>
      <c r="AF68" s="32">
        <f>SUM(AF69:AF71)</f>
        <v>3892</v>
      </c>
      <c r="AG68" s="32">
        <f>SUM(AG69:AG71)</f>
        <v>38808</v>
      </c>
      <c r="AI68" s="32">
        <f>SUM(AI69:AI71)</f>
        <v>43477</v>
      </c>
      <c r="AJ68" s="32">
        <f>SUM(AJ69:AJ71)</f>
        <v>6090</v>
      </c>
      <c r="AK68" s="32">
        <f>SUM(AK69:AK71)</f>
        <v>37387</v>
      </c>
    </row>
    <row r="69" spans="1:37" s="28" customFormat="1" ht="15" customHeight="1">
      <c r="A69" s="9" t="s">
        <v>59</v>
      </c>
      <c r="B69" s="25"/>
      <c r="C69" s="34">
        <f>+D69+E69</f>
        <v>45168</v>
      </c>
      <c r="D69" s="37">
        <v>3440</v>
      </c>
      <c r="E69" s="37">
        <f>41654+74</f>
        <v>41728</v>
      </c>
      <c r="G69" s="34">
        <f>+H69+I69</f>
        <v>49147</v>
      </c>
      <c r="H69" s="37">
        <v>4552</v>
      </c>
      <c r="I69" s="37">
        <f>44569+26</f>
        <v>44595</v>
      </c>
      <c r="K69" s="34">
        <f>+L69+M69</f>
        <v>61531</v>
      </c>
      <c r="L69" s="37">
        <v>4106</v>
      </c>
      <c r="M69" s="37">
        <f>57398+27</f>
        <v>57425</v>
      </c>
      <c r="O69" s="34">
        <f>+P69+Q69</f>
        <v>41120</v>
      </c>
      <c r="P69" s="37">
        <v>603</v>
      </c>
      <c r="Q69" s="37">
        <f>40490+27</f>
        <v>40517</v>
      </c>
      <c r="S69" s="34">
        <f>+T69+U69</f>
        <v>41069</v>
      </c>
      <c r="T69" s="37">
        <v>621</v>
      </c>
      <c r="U69" s="37">
        <f>40418+30</f>
        <v>40448</v>
      </c>
      <c r="W69" s="34">
        <f>+X69+Y69</f>
        <v>46811</v>
      </c>
      <c r="X69" s="37">
        <v>869</v>
      </c>
      <c r="Y69" s="37">
        <f>45913+29</f>
        <v>45942</v>
      </c>
      <c r="AA69" s="34">
        <f>+AB69+AC69</f>
        <v>40902</v>
      </c>
      <c r="AB69" s="37">
        <v>596</v>
      </c>
      <c r="AC69" s="37">
        <f>40280+26</f>
        <v>40306</v>
      </c>
      <c r="AE69" s="34">
        <f>+AF69+AG69</f>
        <v>37523</v>
      </c>
      <c r="AF69" s="37">
        <v>372</v>
      </c>
      <c r="AG69" s="37">
        <f>37126+25</f>
        <v>37151</v>
      </c>
      <c r="AI69" s="34">
        <f>+AJ69+AK69</f>
        <v>37971</v>
      </c>
      <c r="AJ69" s="37">
        <v>1770</v>
      </c>
      <c r="AK69" s="37">
        <f>36180+21</f>
        <v>36201</v>
      </c>
    </row>
    <row r="70" spans="1:37" s="28" customFormat="1" ht="15" customHeight="1">
      <c r="A70" s="9" t="s">
        <v>60</v>
      </c>
      <c r="B70" s="25"/>
      <c r="C70" s="34">
        <f>+D70+E70</f>
        <v>400</v>
      </c>
      <c r="D70" s="37">
        <v>0</v>
      </c>
      <c r="E70" s="37">
        <f>400+0</f>
        <v>400</v>
      </c>
      <c r="G70" s="34">
        <f>+H70+I70</f>
        <v>3572</v>
      </c>
      <c r="H70" s="37">
        <v>3161</v>
      </c>
      <c r="I70" s="37">
        <f>411+0</f>
        <v>411</v>
      </c>
      <c r="K70" s="34">
        <f>+L70+M70</f>
        <v>3559</v>
      </c>
      <c r="L70" s="37">
        <v>3183</v>
      </c>
      <c r="M70" s="37">
        <v>376</v>
      </c>
      <c r="O70" s="34">
        <f>+P70+Q70</f>
        <v>3507</v>
      </c>
      <c r="P70" s="37">
        <v>3160</v>
      </c>
      <c r="Q70" s="37">
        <v>347</v>
      </c>
      <c r="S70" s="34">
        <f>+T70+U70</f>
        <v>2878</v>
      </c>
      <c r="T70" s="37">
        <v>2558</v>
      </c>
      <c r="U70" s="37">
        <v>320</v>
      </c>
      <c r="W70" s="34">
        <f>+X70+Y70</f>
        <v>2940</v>
      </c>
      <c r="X70" s="37">
        <v>2457</v>
      </c>
      <c r="Y70" s="37">
        <v>483</v>
      </c>
      <c r="AA70" s="34">
        <f>+AB70+AC70</f>
        <v>2919</v>
      </c>
      <c r="AB70" s="37">
        <v>2545</v>
      </c>
      <c r="AC70" s="37">
        <v>374</v>
      </c>
      <c r="AE70" s="34">
        <f>+AF70+AG70</f>
        <v>580</v>
      </c>
      <c r="AF70" s="37">
        <v>66</v>
      </c>
      <c r="AG70" s="37">
        <v>514</v>
      </c>
      <c r="AI70" s="34">
        <f>+AJ70+AK70</f>
        <v>446</v>
      </c>
      <c r="AJ70" s="37">
        <v>287</v>
      </c>
      <c r="AK70" s="37">
        <v>159</v>
      </c>
    </row>
    <row r="71" spans="1:37" s="28" customFormat="1" ht="15" customHeight="1">
      <c r="A71" s="9" t="s">
        <v>61</v>
      </c>
      <c r="B71" s="25"/>
      <c r="C71" s="34">
        <f>+D71+E71</f>
        <v>717</v>
      </c>
      <c r="D71" s="37">
        <v>151</v>
      </c>
      <c r="E71" s="37">
        <f>560+6</f>
        <v>566</v>
      </c>
      <c r="G71" s="34">
        <f>+H71+I71</f>
        <v>744</v>
      </c>
      <c r="H71" s="37">
        <v>173</v>
      </c>
      <c r="I71" s="37">
        <f>570+1</f>
        <v>571</v>
      </c>
      <c r="K71" s="34">
        <f>+L71+M71</f>
        <v>976</v>
      </c>
      <c r="L71" s="37">
        <v>352</v>
      </c>
      <c r="M71" s="37">
        <f>617+7</f>
        <v>624</v>
      </c>
      <c r="O71" s="34">
        <f>+P71+Q71</f>
        <v>2108</v>
      </c>
      <c r="P71" s="37">
        <v>1237</v>
      </c>
      <c r="Q71" s="37">
        <f>866+5</f>
        <v>871</v>
      </c>
      <c r="S71" s="34">
        <f>+T71+U71</f>
        <v>1553</v>
      </c>
      <c r="T71" s="37">
        <v>336</v>
      </c>
      <c r="U71" s="37">
        <f>1213+4</f>
        <v>1217</v>
      </c>
      <c r="W71" s="34">
        <f>+X71+Y71</f>
        <v>4135</v>
      </c>
      <c r="X71" s="37">
        <v>2943</v>
      </c>
      <c r="Y71" s="37">
        <f>1188+4</f>
        <v>1192</v>
      </c>
      <c r="AA71" s="34">
        <f>+AB71+AC71</f>
        <v>4583</v>
      </c>
      <c r="AB71" s="37">
        <v>3035</v>
      </c>
      <c r="AC71" s="37">
        <f>1543+5</f>
        <v>1548</v>
      </c>
      <c r="AE71" s="34">
        <f>+AF71+AG71</f>
        <v>4597</v>
      </c>
      <c r="AF71" s="37">
        <v>3454</v>
      </c>
      <c r="AG71" s="37">
        <f>1142+1</f>
        <v>1143</v>
      </c>
      <c r="AI71" s="34">
        <f>+AJ71+AK71</f>
        <v>5060</v>
      </c>
      <c r="AJ71" s="37">
        <v>4033</v>
      </c>
      <c r="AK71" s="37">
        <f>1018+9</f>
        <v>1027</v>
      </c>
    </row>
    <row r="72" spans="1:2" s="28" customFormat="1" ht="15" customHeight="1">
      <c r="A72" s="10"/>
      <c r="B72" s="25"/>
    </row>
    <row r="73" spans="1:37" ht="18" customHeight="1">
      <c r="A73" s="7" t="s">
        <v>62</v>
      </c>
      <c r="C73" s="32">
        <f>C75+C84+C93</f>
        <v>557331</v>
      </c>
      <c r="D73" s="32">
        <f>D75+D84+D93</f>
        <v>411874</v>
      </c>
      <c r="E73" s="32">
        <f>E75+E84+E93</f>
        <v>145457</v>
      </c>
      <c r="G73" s="32">
        <f>G75+G84+G93</f>
        <v>529070</v>
      </c>
      <c r="H73" s="32">
        <f>H75+H84+H93</f>
        <v>376850</v>
      </c>
      <c r="I73" s="32">
        <f>I75+I84+I93</f>
        <v>152220</v>
      </c>
      <c r="K73" s="32">
        <f>K75+K84+K93</f>
        <v>484223</v>
      </c>
      <c r="L73" s="32">
        <f>L75+L84+L93</f>
        <v>347114</v>
      </c>
      <c r="M73" s="32">
        <f>M75+M84+M93</f>
        <v>137109</v>
      </c>
      <c r="O73" s="32">
        <f>O75+O84+O93</f>
        <v>470799</v>
      </c>
      <c r="P73" s="32">
        <f>P75+P84+P93</f>
        <v>338298</v>
      </c>
      <c r="Q73" s="32">
        <f>Q75+Q84+Q93</f>
        <v>132501</v>
      </c>
      <c r="S73" s="32">
        <f>S75+S84+S93</f>
        <v>482630</v>
      </c>
      <c r="T73" s="32">
        <f>T75+T84+T93</f>
        <v>351450</v>
      </c>
      <c r="U73" s="32">
        <f>U75+U84+U93</f>
        <v>131180</v>
      </c>
      <c r="W73" s="32">
        <f>W75+W84+W93</f>
        <v>467099</v>
      </c>
      <c r="X73" s="32">
        <f>X75+X84+X93</f>
        <v>331653</v>
      </c>
      <c r="Y73" s="32">
        <f>Y75+Y84+Y93</f>
        <v>135446</v>
      </c>
      <c r="AA73" s="32">
        <f>AA75+AA84+AA93</f>
        <v>438314</v>
      </c>
      <c r="AB73" s="32">
        <f>AB75+AB84+AB93</f>
        <v>302830</v>
      </c>
      <c r="AC73" s="32">
        <f>AC75+AC84+AC93</f>
        <v>135484</v>
      </c>
      <c r="AE73" s="32">
        <f>AE75+AE84+AE93</f>
        <v>424293</v>
      </c>
      <c r="AF73" s="32">
        <f>AF75+AF84+AF93</f>
        <v>314149</v>
      </c>
      <c r="AG73" s="32">
        <f>AG75+AG84+AG93</f>
        <v>110144</v>
      </c>
      <c r="AI73" s="32">
        <f>AI75+AI84+AI93</f>
        <v>428158</v>
      </c>
      <c r="AJ73" s="32">
        <f>AJ75+AJ84+AJ93</f>
        <v>305602</v>
      </c>
      <c r="AK73" s="32">
        <f>AK75+AK84+AK93</f>
        <v>122556</v>
      </c>
    </row>
    <row r="74" ht="15" customHeight="1">
      <c r="A74" s="14"/>
    </row>
    <row r="75" spans="1:37" ht="18" customHeight="1">
      <c r="A75" s="7" t="s">
        <v>65</v>
      </c>
      <c r="C75" s="32">
        <f>SUM(C76:C82)</f>
        <v>472410</v>
      </c>
      <c r="D75" s="32">
        <f>SUM(D76:D82)</f>
        <v>359735</v>
      </c>
      <c r="E75" s="32">
        <f>SUM(E76:E82)</f>
        <v>112675</v>
      </c>
      <c r="G75" s="32">
        <f>SUM(G76:G82)</f>
        <v>445479</v>
      </c>
      <c r="H75" s="32">
        <f>SUM(H76:H82)</f>
        <v>325879</v>
      </c>
      <c r="I75" s="32">
        <f>SUM(I76:I82)</f>
        <v>119600</v>
      </c>
      <c r="K75" s="32">
        <f>SUM(K76:K82)</f>
        <v>404303</v>
      </c>
      <c r="L75" s="32">
        <f>SUM(L76:L82)</f>
        <v>298573</v>
      </c>
      <c r="M75" s="32">
        <f>SUM(M76:M82)</f>
        <v>105730</v>
      </c>
      <c r="O75" s="32">
        <f>SUM(O76:O82)</f>
        <v>396863</v>
      </c>
      <c r="P75" s="32">
        <f>SUM(P76:P82)</f>
        <v>297207</v>
      </c>
      <c r="Q75" s="32">
        <f>SUM(Q76:Q82)</f>
        <v>99656</v>
      </c>
      <c r="S75" s="32">
        <f>SUM(S76:S82)</f>
        <v>406812</v>
      </c>
      <c r="T75" s="32">
        <f>SUM(T76:T82)</f>
        <v>308839</v>
      </c>
      <c r="U75" s="32">
        <f>SUM(U76:U82)</f>
        <v>97973</v>
      </c>
      <c r="W75" s="32">
        <f>SUM(W76:W82)</f>
        <v>387758</v>
      </c>
      <c r="X75" s="32">
        <f>SUM(X76:X82)</f>
        <v>290940</v>
      </c>
      <c r="Y75" s="32">
        <f>SUM(Y76:Y82)</f>
        <v>96818</v>
      </c>
      <c r="AA75" s="32">
        <f>SUM(AA76:AA82)</f>
        <v>383544</v>
      </c>
      <c r="AB75" s="32">
        <f>SUM(AB76:AB82)</f>
        <v>273062</v>
      </c>
      <c r="AC75" s="32">
        <f>SUM(AC76:AC82)</f>
        <v>110482</v>
      </c>
      <c r="AE75" s="32">
        <f>SUM(AE76:AE82)</f>
        <v>353841</v>
      </c>
      <c r="AF75" s="32">
        <f>SUM(AF76:AF82)</f>
        <v>274661</v>
      </c>
      <c r="AG75" s="32">
        <f>SUM(AG76:AG82)</f>
        <v>79180</v>
      </c>
      <c r="AI75" s="32">
        <f>SUM(AI76:AI82)</f>
        <v>361054</v>
      </c>
      <c r="AJ75" s="32">
        <f>SUM(AJ76:AJ82)</f>
        <v>267526</v>
      </c>
      <c r="AK75" s="32">
        <f>SUM(AK76:AK82)</f>
        <v>93528</v>
      </c>
    </row>
    <row r="76" spans="1:37" s="28" customFormat="1" ht="15" customHeight="1">
      <c r="A76" s="9" t="s">
        <v>4</v>
      </c>
      <c r="B76" s="25"/>
      <c r="C76" s="34">
        <f aca="true" t="shared" si="27" ref="C76:C82">+D76+E76</f>
        <v>392936</v>
      </c>
      <c r="D76" s="37">
        <v>299978</v>
      </c>
      <c r="E76" s="37">
        <f>92891+67</f>
        <v>92958</v>
      </c>
      <c r="G76" s="34">
        <f aca="true" t="shared" si="28" ref="G76:G82">+H76+I76</f>
        <v>367713</v>
      </c>
      <c r="H76" s="37">
        <v>269509</v>
      </c>
      <c r="I76" s="37">
        <f>98172+32</f>
        <v>98204</v>
      </c>
      <c r="K76" s="34">
        <f aca="true" t="shared" si="29" ref="K76:K82">+L76+M76</f>
        <v>332644</v>
      </c>
      <c r="L76" s="37">
        <v>244725</v>
      </c>
      <c r="M76" s="37">
        <f>87886+33</f>
        <v>87919</v>
      </c>
      <c r="O76" s="34">
        <f aca="true" t="shared" si="30" ref="O76:O82">+P76+Q76</f>
        <v>332587</v>
      </c>
      <c r="P76" s="37">
        <v>248795</v>
      </c>
      <c r="Q76" s="37">
        <f>83761+31</f>
        <v>83792</v>
      </c>
      <c r="S76" s="34">
        <f aca="true" t="shared" si="31" ref="S76:S82">+T76+U76</f>
        <v>346064</v>
      </c>
      <c r="T76" s="37">
        <v>263082</v>
      </c>
      <c r="U76" s="37">
        <f>82971+11</f>
        <v>82982</v>
      </c>
      <c r="W76" s="34">
        <f aca="true" t="shared" si="32" ref="W76:W82">+X76+Y76</f>
        <v>327332</v>
      </c>
      <c r="X76" s="37">
        <v>246282</v>
      </c>
      <c r="Y76" s="37">
        <f>81017+33</f>
        <v>81050</v>
      </c>
      <c r="AA76" s="34">
        <f aca="true" t="shared" si="33" ref="AA76:AA82">+AB76+AC76</f>
        <v>328017</v>
      </c>
      <c r="AB76" s="37">
        <v>232060</v>
      </c>
      <c r="AC76" s="37">
        <f>95930+27</f>
        <v>95957</v>
      </c>
      <c r="AE76" s="34">
        <f aca="true" t="shared" si="34" ref="AE76:AE82">+AF76+AG76</f>
        <v>293278</v>
      </c>
      <c r="AF76" s="37">
        <v>227619</v>
      </c>
      <c r="AG76" s="37">
        <f>65631+28</f>
        <v>65659</v>
      </c>
      <c r="AI76" s="34">
        <f aca="true" t="shared" si="35" ref="AI76:AI82">+AJ76+AK76</f>
        <v>298876</v>
      </c>
      <c r="AJ76" s="37">
        <v>216935</v>
      </c>
      <c r="AK76" s="37">
        <f>81742+199</f>
        <v>81941</v>
      </c>
    </row>
    <row r="77" spans="1:37" s="24" customFormat="1" ht="15" customHeight="1">
      <c r="A77" s="9" t="s">
        <v>0</v>
      </c>
      <c r="B77" s="23"/>
      <c r="C77" s="34">
        <f t="shared" si="27"/>
        <v>41755</v>
      </c>
      <c r="D77" s="37">
        <v>35123</v>
      </c>
      <c r="E77" s="37">
        <f>6590+42</f>
        <v>6632</v>
      </c>
      <c r="G77" s="34">
        <f t="shared" si="28"/>
        <v>43172</v>
      </c>
      <c r="H77" s="37">
        <v>35339</v>
      </c>
      <c r="I77" s="37">
        <f>7812+21</f>
        <v>7833</v>
      </c>
      <c r="K77" s="34">
        <f t="shared" si="29"/>
        <v>43060</v>
      </c>
      <c r="L77" s="37">
        <v>34541</v>
      </c>
      <c r="M77" s="37">
        <f>8497+22</f>
        <v>8519</v>
      </c>
      <c r="O77" s="34">
        <f t="shared" si="30"/>
        <v>37993</v>
      </c>
      <c r="P77" s="37">
        <v>30855</v>
      </c>
      <c r="Q77" s="37">
        <f>7115+23</f>
        <v>7138</v>
      </c>
      <c r="S77" s="34">
        <f t="shared" si="31"/>
        <v>35106</v>
      </c>
      <c r="T77" s="37">
        <v>29295</v>
      </c>
      <c r="U77" s="37">
        <f>5803+8</f>
        <v>5811</v>
      </c>
      <c r="W77" s="34">
        <f t="shared" si="32"/>
        <v>36784</v>
      </c>
      <c r="X77" s="37">
        <v>29289</v>
      </c>
      <c r="Y77" s="37">
        <f>7475+20</f>
        <v>7495</v>
      </c>
      <c r="AA77" s="34">
        <f t="shared" si="33"/>
        <v>36012</v>
      </c>
      <c r="AB77" s="37">
        <v>28209</v>
      </c>
      <c r="AC77" s="37">
        <f>7784+19</f>
        <v>7803</v>
      </c>
      <c r="AE77" s="34">
        <f t="shared" si="34"/>
        <v>34032</v>
      </c>
      <c r="AF77" s="37">
        <v>28156</v>
      </c>
      <c r="AG77" s="37">
        <f>5857+19</f>
        <v>5876</v>
      </c>
      <c r="AI77" s="34">
        <f t="shared" si="35"/>
        <v>33283</v>
      </c>
      <c r="AJ77" s="37">
        <v>27747</v>
      </c>
      <c r="AK77" s="37">
        <f>5516+20</f>
        <v>5536</v>
      </c>
    </row>
    <row r="78" spans="1:37" s="24" customFormat="1" ht="15" customHeight="1">
      <c r="A78" s="9" t="s">
        <v>9</v>
      </c>
      <c r="B78" s="23"/>
      <c r="C78" s="34">
        <f t="shared" si="27"/>
        <v>231</v>
      </c>
      <c r="D78" s="37">
        <v>224</v>
      </c>
      <c r="E78" s="37">
        <f>7+0</f>
        <v>7</v>
      </c>
      <c r="G78" s="34">
        <f t="shared" si="28"/>
        <v>426</v>
      </c>
      <c r="H78" s="37">
        <v>415</v>
      </c>
      <c r="I78" s="37">
        <f>11+0</f>
        <v>11</v>
      </c>
      <c r="K78" s="34">
        <f t="shared" si="29"/>
        <v>261</v>
      </c>
      <c r="L78" s="37">
        <v>249</v>
      </c>
      <c r="M78" s="37">
        <v>12</v>
      </c>
      <c r="O78" s="34">
        <f t="shared" si="30"/>
        <v>585</v>
      </c>
      <c r="P78" s="37">
        <v>578</v>
      </c>
      <c r="Q78" s="37">
        <v>7</v>
      </c>
      <c r="S78" s="34">
        <f t="shared" si="31"/>
        <v>954</v>
      </c>
      <c r="T78" s="37">
        <v>941</v>
      </c>
      <c r="U78" s="37">
        <v>13</v>
      </c>
      <c r="W78" s="34">
        <f t="shared" si="32"/>
        <v>644</v>
      </c>
      <c r="X78" s="37">
        <v>635</v>
      </c>
      <c r="Y78" s="37">
        <v>9</v>
      </c>
      <c r="AA78" s="34">
        <f t="shared" si="33"/>
        <v>795</v>
      </c>
      <c r="AB78" s="37">
        <v>794</v>
      </c>
      <c r="AC78" s="37">
        <v>1</v>
      </c>
      <c r="AE78" s="34">
        <f t="shared" si="34"/>
        <v>351</v>
      </c>
      <c r="AF78" s="37">
        <v>349</v>
      </c>
      <c r="AG78" s="37">
        <v>2</v>
      </c>
      <c r="AI78" s="34">
        <f t="shared" si="35"/>
        <v>486</v>
      </c>
      <c r="AJ78" s="37">
        <v>485</v>
      </c>
      <c r="AK78" s="37">
        <v>1</v>
      </c>
    </row>
    <row r="79" spans="1:37" s="24" customFormat="1" ht="15" customHeight="1">
      <c r="A79" s="9" t="s">
        <v>2</v>
      </c>
      <c r="B79" s="23"/>
      <c r="C79" s="34">
        <f t="shared" si="27"/>
        <v>25197</v>
      </c>
      <c r="D79" s="37">
        <v>14731</v>
      </c>
      <c r="E79" s="37">
        <f>10408+58</f>
        <v>10466</v>
      </c>
      <c r="G79" s="34">
        <f t="shared" si="28"/>
        <v>24387</v>
      </c>
      <c r="H79" s="37">
        <v>13021</v>
      </c>
      <c r="I79" s="37">
        <f>11333+33</f>
        <v>11366</v>
      </c>
      <c r="K79" s="34">
        <f t="shared" si="29"/>
        <v>14788</v>
      </c>
      <c r="L79" s="37">
        <v>7807</v>
      </c>
      <c r="M79" s="37">
        <f>6948+33</f>
        <v>6981</v>
      </c>
      <c r="O79" s="34">
        <f t="shared" si="30"/>
        <v>13652</v>
      </c>
      <c r="P79" s="37">
        <v>6584</v>
      </c>
      <c r="Q79" s="37">
        <f>7037+31</f>
        <v>7068</v>
      </c>
      <c r="S79" s="34">
        <f t="shared" si="31"/>
        <v>13214</v>
      </c>
      <c r="T79" s="37">
        <v>6221</v>
      </c>
      <c r="U79" s="37">
        <f>6991+2</f>
        <v>6993</v>
      </c>
      <c r="W79" s="34">
        <f t="shared" si="32"/>
        <v>13441</v>
      </c>
      <c r="X79" s="37">
        <v>5911</v>
      </c>
      <c r="Y79" s="37">
        <f>7500+30</f>
        <v>7530</v>
      </c>
      <c r="AA79" s="34">
        <f t="shared" si="33"/>
        <v>11740</v>
      </c>
      <c r="AB79" s="37">
        <v>5871</v>
      </c>
      <c r="AC79" s="37">
        <f>5842+27</f>
        <v>5869</v>
      </c>
      <c r="AE79" s="34">
        <f t="shared" si="34"/>
        <v>13478</v>
      </c>
      <c r="AF79" s="37">
        <v>6779</v>
      </c>
      <c r="AG79" s="37">
        <f>6671+28</f>
        <v>6699</v>
      </c>
      <c r="AI79" s="34">
        <f t="shared" si="35"/>
        <v>17167</v>
      </c>
      <c r="AJ79" s="37">
        <v>12380</v>
      </c>
      <c r="AK79" s="37">
        <f>4759+28</f>
        <v>4787</v>
      </c>
    </row>
    <row r="80" spans="1:37" s="24" customFormat="1" ht="15" customHeight="1">
      <c r="A80" s="9" t="s">
        <v>3</v>
      </c>
      <c r="B80" s="23"/>
      <c r="C80" s="34">
        <f t="shared" si="27"/>
        <v>7947</v>
      </c>
      <c r="D80" s="37">
        <v>6315</v>
      </c>
      <c r="E80" s="37">
        <f>1632+0</f>
        <v>1632</v>
      </c>
      <c r="G80" s="34">
        <f t="shared" si="28"/>
        <v>5321</v>
      </c>
      <c r="H80" s="37">
        <v>4137</v>
      </c>
      <c r="I80" s="37">
        <f>1183+1</f>
        <v>1184</v>
      </c>
      <c r="K80" s="34">
        <f t="shared" si="29"/>
        <v>8672</v>
      </c>
      <c r="L80" s="37">
        <v>7546</v>
      </c>
      <c r="M80" s="37">
        <f>1125+1</f>
        <v>1126</v>
      </c>
      <c r="O80" s="34">
        <f t="shared" si="30"/>
        <v>7317</v>
      </c>
      <c r="P80" s="37">
        <v>6647</v>
      </c>
      <c r="Q80" s="37">
        <v>670</v>
      </c>
      <c r="S80" s="34">
        <f t="shared" si="31"/>
        <v>6164</v>
      </c>
      <c r="T80" s="37">
        <v>5813</v>
      </c>
      <c r="U80" s="37">
        <v>351</v>
      </c>
      <c r="W80" s="34">
        <f t="shared" si="32"/>
        <v>5554</v>
      </c>
      <c r="X80" s="37">
        <v>5121</v>
      </c>
      <c r="Y80" s="37">
        <f>432+1</f>
        <v>433</v>
      </c>
      <c r="AA80" s="34">
        <f t="shared" si="33"/>
        <v>3521</v>
      </c>
      <c r="AB80" s="37">
        <v>3112</v>
      </c>
      <c r="AC80" s="37">
        <f>407+2</f>
        <v>409</v>
      </c>
      <c r="AE80" s="34">
        <f t="shared" si="34"/>
        <v>8065</v>
      </c>
      <c r="AF80" s="37">
        <v>7959</v>
      </c>
      <c r="AG80" s="37">
        <f>105+1</f>
        <v>106</v>
      </c>
      <c r="AI80" s="34">
        <f t="shared" si="35"/>
        <v>6575</v>
      </c>
      <c r="AJ80" s="37">
        <v>6417</v>
      </c>
      <c r="AK80" s="37">
        <f>157+1</f>
        <v>158</v>
      </c>
    </row>
    <row r="81" spans="1:37" s="24" customFormat="1" ht="15" customHeight="1">
      <c r="A81" s="9" t="s">
        <v>1</v>
      </c>
      <c r="B81" s="29"/>
      <c r="C81" s="34">
        <f t="shared" si="27"/>
        <v>4344</v>
      </c>
      <c r="D81" s="37">
        <v>3364</v>
      </c>
      <c r="E81" s="37">
        <f>980+0</f>
        <v>980</v>
      </c>
      <c r="G81" s="34">
        <f t="shared" si="28"/>
        <v>4460</v>
      </c>
      <c r="H81" s="37">
        <v>3458</v>
      </c>
      <c r="I81" s="37">
        <f>1002+0</f>
        <v>1002</v>
      </c>
      <c r="K81" s="34">
        <f t="shared" si="29"/>
        <v>4878</v>
      </c>
      <c r="L81" s="37">
        <v>3705</v>
      </c>
      <c r="M81" s="37">
        <v>1173</v>
      </c>
      <c r="O81" s="34">
        <f t="shared" si="30"/>
        <v>4729</v>
      </c>
      <c r="P81" s="37">
        <v>3748</v>
      </c>
      <c r="Q81" s="37">
        <v>981</v>
      </c>
      <c r="S81" s="34">
        <f t="shared" si="31"/>
        <v>5310</v>
      </c>
      <c r="T81" s="37">
        <v>3487</v>
      </c>
      <c r="U81" s="37">
        <v>1823</v>
      </c>
      <c r="W81" s="34">
        <f t="shared" si="32"/>
        <v>3996</v>
      </c>
      <c r="X81" s="37">
        <v>3702</v>
      </c>
      <c r="Y81" s="37">
        <v>294</v>
      </c>
      <c r="AA81" s="34">
        <f t="shared" si="33"/>
        <v>3451</v>
      </c>
      <c r="AB81" s="37">
        <v>3016</v>
      </c>
      <c r="AC81" s="37">
        <v>435</v>
      </c>
      <c r="AE81" s="34">
        <f t="shared" si="34"/>
        <v>4631</v>
      </c>
      <c r="AF81" s="37">
        <v>3799</v>
      </c>
      <c r="AG81" s="37">
        <v>832</v>
      </c>
      <c r="AI81" s="34">
        <f t="shared" si="35"/>
        <v>4600</v>
      </c>
      <c r="AJ81" s="37">
        <v>3562</v>
      </c>
      <c r="AK81" s="37">
        <v>1038</v>
      </c>
    </row>
    <row r="82" spans="1:37" s="24" customFormat="1" ht="15" customHeight="1">
      <c r="A82" s="9" t="s">
        <v>19</v>
      </c>
      <c r="B82" s="23"/>
      <c r="C82" s="34">
        <f t="shared" si="27"/>
        <v>0</v>
      </c>
      <c r="D82" s="28">
        <v>0</v>
      </c>
      <c r="E82" s="28">
        <v>0</v>
      </c>
      <c r="G82" s="34">
        <f t="shared" si="28"/>
        <v>0</v>
      </c>
      <c r="H82" s="28">
        <v>0</v>
      </c>
      <c r="I82" s="28">
        <v>0</v>
      </c>
      <c r="K82" s="34">
        <f t="shared" si="29"/>
        <v>0</v>
      </c>
      <c r="L82" s="28">
        <v>0</v>
      </c>
      <c r="M82" s="28">
        <v>0</v>
      </c>
      <c r="O82" s="34">
        <f t="shared" si="30"/>
        <v>0</v>
      </c>
      <c r="P82" s="28">
        <v>0</v>
      </c>
      <c r="Q82" s="28">
        <v>0</v>
      </c>
      <c r="S82" s="34">
        <f t="shared" si="31"/>
        <v>0</v>
      </c>
      <c r="T82" s="28">
        <v>0</v>
      </c>
      <c r="U82" s="28">
        <v>0</v>
      </c>
      <c r="W82" s="34">
        <f t="shared" si="32"/>
        <v>7</v>
      </c>
      <c r="X82" s="28">
        <v>0</v>
      </c>
      <c r="Y82" s="28">
        <v>7</v>
      </c>
      <c r="AA82" s="34">
        <f t="shared" si="33"/>
        <v>8</v>
      </c>
      <c r="AB82" s="28">
        <v>0</v>
      </c>
      <c r="AC82" s="28">
        <v>8</v>
      </c>
      <c r="AE82" s="34">
        <f t="shared" si="34"/>
        <v>6</v>
      </c>
      <c r="AF82" s="28">
        <v>0</v>
      </c>
      <c r="AG82" s="28">
        <v>6</v>
      </c>
      <c r="AI82" s="34">
        <f t="shared" si="35"/>
        <v>67</v>
      </c>
      <c r="AJ82" s="28">
        <v>0</v>
      </c>
      <c r="AK82" s="28">
        <v>67</v>
      </c>
    </row>
    <row r="83" ht="15" customHeight="1">
      <c r="A83" s="14"/>
    </row>
    <row r="84" spans="1:37" ht="18" customHeight="1">
      <c r="A84" s="7" t="s">
        <v>66</v>
      </c>
      <c r="C84" s="32">
        <f>SUM(C85:C91)</f>
        <v>38592</v>
      </c>
      <c r="D84" s="32">
        <f>SUM(D85:D91)</f>
        <v>23881</v>
      </c>
      <c r="E84" s="32">
        <f>SUM(E85:E91)</f>
        <v>14711</v>
      </c>
      <c r="G84" s="32">
        <f>SUM(G85:G91)</f>
        <v>36423</v>
      </c>
      <c r="H84" s="32">
        <f>SUM(H85:H91)</f>
        <v>21988</v>
      </c>
      <c r="I84" s="32">
        <f>SUM(I85:I91)</f>
        <v>14435</v>
      </c>
      <c r="K84" s="32">
        <f>SUM(K85:K91)</f>
        <v>33475</v>
      </c>
      <c r="L84" s="32">
        <f>SUM(L85:L91)</f>
        <v>20086</v>
      </c>
      <c r="M84" s="32">
        <f>SUM(M85:M91)</f>
        <v>13389</v>
      </c>
      <c r="O84" s="32">
        <f>SUM(O85:O91)</f>
        <v>31535</v>
      </c>
      <c r="P84" s="32">
        <f>SUM(P85:P91)</f>
        <v>16555</v>
      </c>
      <c r="Q84" s="32">
        <f>SUM(Q85:Q91)</f>
        <v>14980</v>
      </c>
      <c r="S84" s="32">
        <f>SUM(S85:S91)</f>
        <v>30703</v>
      </c>
      <c r="T84" s="32">
        <f>SUM(T85:T91)</f>
        <v>17382</v>
      </c>
      <c r="U84" s="32">
        <f>SUM(U85:U91)</f>
        <v>13321</v>
      </c>
      <c r="W84" s="32">
        <f>SUM(W85:W91)</f>
        <v>30702</v>
      </c>
      <c r="X84" s="32">
        <f>SUM(X85:X91)</f>
        <v>17807</v>
      </c>
      <c r="Y84" s="32">
        <f>SUM(Y85:Y91)</f>
        <v>12895</v>
      </c>
      <c r="AA84" s="32">
        <f>SUM(AA85:AA91)</f>
        <v>27429</v>
      </c>
      <c r="AB84" s="32">
        <f>SUM(AB85:AB91)</f>
        <v>13509</v>
      </c>
      <c r="AC84" s="32">
        <f>SUM(AC85:AC91)</f>
        <v>13920</v>
      </c>
      <c r="AE84" s="32">
        <f>SUM(AE85:AE91)</f>
        <v>34466</v>
      </c>
      <c r="AF84" s="32">
        <f>SUM(AF85:AF91)</f>
        <v>17742</v>
      </c>
      <c r="AG84" s="32">
        <f>SUM(AG85:AG91)</f>
        <v>16724</v>
      </c>
      <c r="AI84" s="32">
        <f>SUM(AI85:AI91)</f>
        <v>29152</v>
      </c>
      <c r="AJ84" s="32">
        <f>SUM(AJ85:AJ91)</f>
        <v>15928</v>
      </c>
      <c r="AK84" s="32">
        <f>SUM(AK85:AK91)</f>
        <v>13224</v>
      </c>
    </row>
    <row r="85" spans="1:37" ht="15" customHeight="1">
      <c r="A85" s="9" t="s">
        <v>4</v>
      </c>
      <c r="C85" s="34">
        <f aca="true" t="shared" si="36" ref="C85:C90">+D85+E85</f>
        <v>17425</v>
      </c>
      <c r="D85" s="37">
        <v>6154</v>
      </c>
      <c r="E85" s="37">
        <f>10671+600</f>
        <v>11271</v>
      </c>
      <c r="G85" s="34">
        <f aca="true" t="shared" si="37" ref="G85:G90">+H85+I85</f>
        <v>15621</v>
      </c>
      <c r="H85" s="37">
        <v>4054</v>
      </c>
      <c r="I85" s="37">
        <f>10967+600</f>
        <v>11567</v>
      </c>
      <c r="K85" s="34">
        <f aca="true" t="shared" si="38" ref="K85:K91">+L85+M85</f>
        <v>13841</v>
      </c>
      <c r="L85" s="37">
        <v>3210</v>
      </c>
      <c r="M85" s="37">
        <f>10031+600</f>
        <v>10631</v>
      </c>
      <c r="O85" s="34">
        <f aca="true" t="shared" si="39" ref="O85:O91">+P85+Q85</f>
        <v>13634</v>
      </c>
      <c r="P85" s="37">
        <v>1098</v>
      </c>
      <c r="Q85" s="37">
        <f>11936+600</f>
        <v>12536</v>
      </c>
      <c r="S85" s="34">
        <f aca="true" t="shared" si="40" ref="S85:S91">+T85+U85</f>
        <v>13762</v>
      </c>
      <c r="T85" s="37">
        <v>2845</v>
      </c>
      <c r="U85" s="37">
        <v>10917</v>
      </c>
      <c r="W85" s="34">
        <f aca="true" t="shared" si="41" ref="W85:W91">+X85+Y85</f>
        <v>13921</v>
      </c>
      <c r="X85" s="37">
        <v>3353</v>
      </c>
      <c r="Y85" s="37">
        <v>10568</v>
      </c>
      <c r="AA85" s="34">
        <f aca="true" t="shared" si="42" ref="AA85:AA91">+AB85+AC85</f>
        <v>12281</v>
      </c>
      <c r="AB85" s="37">
        <v>258</v>
      </c>
      <c r="AC85" s="37">
        <v>12023</v>
      </c>
      <c r="AE85" s="34">
        <f aca="true" t="shared" si="43" ref="AE85:AE91">+AF85+AG85</f>
        <v>16961</v>
      </c>
      <c r="AF85" s="37">
        <v>2109</v>
      </c>
      <c r="AG85" s="37">
        <v>14852</v>
      </c>
      <c r="AI85" s="34">
        <f aca="true" t="shared" si="44" ref="AI85:AI91">+AJ85+AK85</f>
        <v>12578</v>
      </c>
      <c r="AJ85" s="37">
        <v>1912</v>
      </c>
      <c r="AK85" s="37">
        <v>10666</v>
      </c>
    </row>
    <row r="86" spans="1:37" ht="15" customHeight="1">
      <c r="A86" s="9" t="s">
        <v>0</v>
      </c>
      <c r="C86" s="34">
        <f t="shared" si="36"/>
        <v>827</v>
      </c>
      <c r="D86" s="37">
        <v>234</v>
      </c>
      <c r="E86" s="37">
        <f>593+0</f>
        <v>593</v>
      </c>
      <c r="G86" s="34">
        <f t="shared" si="37"/>
        <v>930</v>
      </c>
      <c r="H86" s="37">
        <v>335</v>
      </c>
      <c r="I86" s="37">
        <f>595+0</f>
        <v>595</v>
      </c>
      <c r="K86" s="34">
        <f t="shared" si="38"/>
        <v>927</v>
      </c>
      <c r="L86" s="37">
        <v>333</v>
      </c>
      <c r="M86" s="37">
        <v>594</v>
      </c>
      <c r="O86" s="34">
        <f t="shared" si="39"/>
        <v>570</v>
      </c>
      <c r="P86" s="37">
        <v>192</v>
      </c>
      <c r="Q86" s="37">
        <v>378</v>
      </c>
      <c r="S86" s="34">
        <f t="shared" si="40"/>
        <v>570</v>
      </c>
      <c r="T86" s="37">
        <v>192</v>
      </c>
      <c r="U86" s="37">
        <v>378</v>
      </c>
      <c r="W86" s="34">
        <f t="shared" si="41"/>
        <v>570</v>
      </c>
      <c r="X86" s="37">
        <v>192</v>
      </c>
      <c r="Y86" s="37">
        <v>378</v>
      </c>
      <c r="AA86" s="34">
        <f t="shared" si="42"/>
        <v>542</v>
      </c>
      <c r="AB86" s="37">
        <v>192</v>
      </c>
      <c r="AC86" s="37">
        <v>350</v>
      </c>
      <c r="AE86" s="34">
        <f t="shared" si="43"/>
        <v>516</v>
      </c>
      <c r="AF86" s="37">
        <v>231</v>
      </c>
      <c r="AG86" s="37">
        <v>285</v>
      </c>
      <c r="AI86" s="34">
        <f t="shared" si="44"/>
        <v>638</v>
      </c>
      <c r="AJ86" s="37">
        <v>193</v>
      </c>
      <c r="AK86" s="37">
        <v>445</v>
      </c>
    </row>
    <row r="87" spans="1:37" ht="15" customHeight="1">
      <c r="A87" s="9" t="s">
        <v>9</v>
      </c>
      <c r="C87" s="34">
        <f t="shared" si="36"/>
        <v>0</v>
      </c>
      <c r="D87" s="28">
        <v>0</v>
      </c>
      <c r="E87" s="28">
        <v>0</v>
      </c>
      <c r="G87" s="34">
        <f>+H87+I87</f>
        <v>0</v>
      </c>
      <c r="H87" s="28">
        <v>0</v>
      </c>
      <c r="I87" s="28">
        <v>0</v>
      </c>
      <c r="K87" s="34">
        <f t="shared" si="38"/>
        <v>0</v>
      </c>
      <c r="L87" s="28">
        <v>0</v>
      </c>
      <c r="M87" s="28">
        <v>0</v>
      </c>
      <c r="O87" s="34">
        <f t="shared" si="39"/>
        <v>0</v>
      </c>
      <c r="P87" s="28">
        <v>0</v>
      </c>
      <c r="Q87" s="28">
        <v>0</v>
      </c>
      <c r="S87" s="34">
        <f t="shared" si="40"/>
        <v>0</v>
      </c>
      <c r="T87" s="28">
        <v>0</v>
      </c>
      <c r="U87" s="28">
        <v>0</v>
      </c>
      <c r="W87" s="34">
        <f t="shared" si="41"/>
        <v>0</v>
      </c>
      <c r="X87" s="28">
        <v>0</v>
      </c>
      <c r="Y87" s="28">
        <v>0</v>
      </c>
      <c r="AA87" s="34">
        <f t="shared" si="42"/>
        <v>0</v>
      </c>
      <c r="AB87" s="28">
        <v>0</v>
      </c>
      <c r="AC87" s="28">
        <v>0</v>
      </c>
      <c r="AE87" s="34">
        <f t="shared" si="43"/>
        <v>0</v>
      </c>
      <c r="AF87" s="28">
        <v>0</v>
      </c>
      <c r="AG87" s="28">
        <v>0</v>
      </c>
      <c r="AI87" s="34">
        <f t="shared" si="44"/>
        <v>0</v>
      </c>
      <c r="AJ87" s="28">
        <v>0</v>
      </c>
      <c r="AK87" s="28">
        <v>0</v>
      </c>
    </row>
    <row r="88" spans="1:37" ht="15" customHeight="1">
      <c r="A88" s="9" t="s">
        <v>2</v>
      </c>
      <c r="C88" s="34">
        <f t="shared" si="36"/>
        <v>7330</v>
      </c>
      <c r="D88" s="37">
        <v>6380</v>
      </c>
      <c r="E88" s="37">
        <f>913+37</f>
        <v>950</v>
      </c>
      <c r="G88" s="34">
        <f>+H88+I88</f>
        <v>6811</v>
      </c>
      <c r="H88" s="37">
        <v>6436</v>
      </c>
      <c r="I88" s="37">
        <f>345+30</f>
        <v>375</v>
      </c>
      <c r="K88" s="34">
        <f t="shared" si="38"/>
        <v>5643</v>
      </c>
      <c r="L88" s="37">
        <v>5377</v>
      </c>
      <c r="M88" s="37">
        <v>266</v>
      </c>
      <c r="O88" s="34">
        <f t="shared" si="39"/>
        <v>5322</v>
      </c>
      <c r="P88" s="37">
        <v>5154</v>
      </c>
      <c r="Q88" s="37">
        <v>168</v>
      </c>
      <c r="S88" s="34">
        <f t="shared" si="40"/>
        <v>5623</v>
      </c>
      <c r="T88" s="37">
        <v>5496</v>
      </c>
      <c r="U88" s="28">
        <v>127</v>
      </c>
      <c r="W88" s="34">
        <f t="shared" si="41"/>
        <v>5407</v>
      </c>
      <c r="X88" s="37">
        <v>5357</v>
      </c>
      <c r="Y88" s="28">
        <v>50</v>
      </c>
      <c r="AA88" s="34">
        <f t="shared" si="42"/>
        <v>5558</v>
      </c>
      <c r="AB88" s="37">
        <v>5532</v>
      </c>
      <c r="AC88" s="28">
        <v>26</v>
      </c>
      <c r="AE88" s="34">
        <f t="shared" si="43"/>
        <v>7987</v>
      </c>
      <c r="AF88" s="37">
        <v>7899</v>
      </c>
      <c r="AG88" s="28">
        <v>88</v>
      </c>
      <c r="AI88" s="34">
        <f t="shared" si="44"/>
        <v>7902</v>
      </c>
      <c r="AJ88" s="37">
        <v>7289</v>
      </c>
      <c r="AK88" s="28">
        <f>213+400</f>
        <v>613</v>
      </c>
    </row>
    <row r="89" spans="1:37" ht="15" customHeight="1">
      <c r="A89" s="9" t="s">
        <v>3</v>
      </c>
      <c r="C89" s="34">
        <f t="shared" si="36"/>
        <v>0</v>
      </c>
      <c r="D89" s="28">
        <v>0</v>
      </c>
      <c r="E89" s="28">
        <v>0</v>
      </c>
      <c r="G89" s="34">
        <f t="shared" si="37"/>
        <v>0</v>
      </c>
      <c r="H89" s="28">
        <v>0</v>
      </c>
      <c r="I89" s="28">
        <v>0</v>
      </c>
      <c r="K89" s="34">
        <f t="shared" si="38"/>
        <v>0</v>
      </c>
      <c r="L89" s="28">
        <v>0</v>
      </c>
      <c r="M89" s="28">
        <v>0</v>
      </c>
      <c r="O89" s="34">
        <f t="shared" si="39"/>
        <v>0</v>
      </c>
      <c r="P89" s="28">
        <v>0</v>
      </c>
      <c r="Q89" s="28">
        <v>0</v>
      </c>
      <c r="S89" s="34">
        <f t="shared" si="40"/>
        <v>0</v>
      </c>
      <c r="T89" s="28">
        <v>0</v>
      </c>
      <c r="U89" s="28">
        <v>0</v>
      </c>
      <c r="W89" s="34">
        <f t="shared" si="41"/>
        <v>0</v>
      </c>
      <c r="X89" s="28">
        <v>0</v>
      </c>
      <c r="Y89" s="28">
        <v>0</v>
      </c>
      <c r="AA89" s="34">
        <f t="shared" si="42"/>
        <v>0</v>
      </c>
      <c r="AB89" s="28">
        <v>0</v>
      </c>
      <c r="AC89" s="28">
        <v>0</v>
      </c>
      <c r="AE89" s="34">
        <f t="shared" si="43"/>
        <v>0</v>
      </c>
      <c r="AF89" s="28">
        <v>0</v>
      </c>
      <c r="AG89" s="28">
        <v>0</v>
      </c>
      <c r="AI89" s="34">
        <f t="shared" si="44"/>
        <v>0</v>
      </c>
      <c r="AJ89" s="28">
        <v>0</v>
      </c>
      <c r="AK89" s="28">
        <v>0</v>
      </c>
    </row>
    <row r="90" spans="1:37" ht="15" customHeight="1">
      <c r="A90" s="9" t="s">
        <v>1</v>
      </c>
      <c r="C90" s="34">
        <f t="shared" si="36"/>
        <v>0</v>
      </c>
      <c r="D90" s="28">
        <v>0</v>
      </c>
      <c r="E90" s="28">
        <v>0</v>
      </c>
      <c r="G90" s="34">
        <f t="shared" si="37"/>
        <v>0</v>
      </c>
      <c r="H90" s="28">
        <v>0</v>
      </c>
      <c r="I90" s="28">
        <v>0</v>
      </c>
      <c r="K90" s="34">
        <f t="shared" si="38"/>
        <v>0</v>
      </c>
      <c r="L90" s="28">
        <v>0</v>
      </c>
      <c r="M90" s="28">
        <v>0</v>
      </c>
      <c r="O90" s="34">
        <f t="shared" si="39"/>
        <v>0</v>
      </c>
      <c r="P90" s="28">
        <v>0</v>
      </c>
      <c r="Q90" s="28">
        <v>0</v>
      </c>
      <c r="S90" s="34">
        <f t="shared" si="40"/>
        <v>0</v>
      </c>
      <c r="T90" s="28">
        <v>0</v>
      </c>
      <c r="U90" s="28">
        <v>0</v>
      </c>
      <c r="W90" s="34">
        <f t="shared" si="41"/>
        <v>0</v>
      </c>
      <c r="X90" s="28">
        <v>0</v>
      </c>
      <c r="Y90" s="28">
        <v>0</v>
      </c>
      <c r="AA90" s="34">
        <f t="shared" si="42"/>
        <v>22</v>
      </c>
      <c r="AB90" s="28">
        <v>0</v>
      </c>
      <c r="AC90" s="28">
        <v>22</v>
      </c>
      <c r="AE90" s="34">
        <f t="shared" si="43"/>
        <v>0</v>
      </c>
      <c r="AF90" s="28">
        <v>0</v>
      </c>
      <c r="AG90" s="28">
        <v>0</v>
      </c>
      <c r="AI90" s="34">
        <f t="shared" si="44"/>
        <v>0</v>
      </c>
      <c r="AJ90" s="28">
        <v>0</v>
      </c>
      <c r="AK90" s="28">
        <v>0</v>
      </c>
    </row>
    <row r="91" spans="1:37" s="28" customFormat="1" ht="15" customHeight="1">
      <c r="A91" s="9" t="s">
        <v>19</v>
      </c>
      <c r="B91" s="20"/>
      <c r="C91" s="34">
        <f>+D91+E91</f>
        <v>13010</v>
      </c>
      <c r="D91" s="37">
        <v>11113</v>
      </c>
      <c r="E91" s="37">
        <f>0+1897</f>
        <v>1897</v>
      </c>
      <c r="G91" s="34">
        <f>+H91+I91</f>
        <v>13061</v>
      </c>
      <c r="H91" s="37">
        <v>11163</v>
      </c>
      <c r="I91" s="37">
        <f>0+1898</f>
        <v>1898</v>
      </c>
      <c r="K91" s="34">
        <f t="shared" si="38"/>
        <v>13064</v>
      </c>
      <c r="L91" s="37">
        <v>11166</v>
      </c>
      <c r="M91" s="37">
        <v>1898</v>
      </c>
      <c r="O91" s="34">
        <f t="shared" si="39"/>
        <v>12009</v>
      </c>
      <c r="P91" s="37">
        <v>10111</v>
      </c>
      <c r="Q91" s="37">
        <v>1898</v>
      </c>
      <c r="S91" s="34">
        <f t="shared" si="40"/>
        <v>10748</v>
      </c>
      <c r="T91" s="37">
        <v>8849</v>
      </c>
      <c r="U91" s="37">
        <v>1899</v>
      </c>
      <c r="W91" s="34">
        <f t="shared" si="41"/>
        <v>10804</v>
      </c>
      <c r="X91" s="37">
        <v>8905</v>
      </c>
      <c r="Y91" s="37">
        <v>1899</v>
      </c>
      <c r="AA91" s="34">
        <f t="shared" si="42"/>
        <v>9026</v>
      </c>
      <c r="AB91" s="37">
        <v>7527</v>
      </c>
      <c r="AC91" s="37">
        <v>1499</v>
      </c>
      <c r="AE91" s="34">
        <f t="shared" si="43"/>
        <v>9002</v>
      </c>
      <c r="AF91" s="37">
        <v>7503</v>
      </c>
      <c r="AG91" s="37">
        <v>1499</v>
      </c>
      <c r="AI91" s="34">
        <f t="shared" si="44"/>
        <v>8034</v>
      </c>
      <c r="AJ91" s="37">
        <v>6534</v>
      </c>
      <c r="AK91" s="37">
        <v>1500</v>
      </c>
    </row>
    <row r="92" spans="1:2" ht="15" customHeight="1">
      <c r="A92" s="14"/>
      <c r="B92" s="22"/>
    </row>
    <row r="93" spans="1:37" ht="18" customHeight="1">
      <c r="A93" s="7" t="s">
        <v>68</v>
      </c>
      <c r="C93" s="32">
        <f>SUM(C94:C100)</f>
        <v>46329</v>
      </c>
      <c r="D93" s="32">
        <f>SUM(D94:D100)</f>
        <v>28258</v>
      </c>
      <c r="E93" s="32">
        <f>SUM(E94:E100)</f>
        <v>18071</v>
      </c>
      <c r="G93" s="32">
        <f>SUM(G94:G100)</f>
        <v>47168</v>
      </c>
      <c r="H93" s="32">
        <f>SUM(H94:H100)</f>
        <v>28983</v>
      </c>
      <c r="I93" s="32">
        <f>SUM(I94:I100)</f>
        <v>18185</v>
      </c>
      <c r="K93" s="32">
        <f>SUM(K94:K100)</f>
        <v>46445</v>
      </c>
      <c r="L93" s="32">
        <f>SUM(L94:L100)</f>
        <v>28455</v>
      </c>
      <c r="M93" s="32">
        <f>SUM(M94:M100)</f>
        <v>17990</v>
      </c>
      <c r="O93" s="32">
        <f>SUM(O94:O100)</f>
        <v>42401</v>
      </c>
      <c r="P93" s="32">
        <f>SUM(P94:P100)</f>
        <v>24536</v>
      </c>
      <c r="Q93" s="32">
        <f>SUM(Q94:Q100)</f>
        <v>17865</v>
      </c>
      <c r="S93" s="32">
        <f>SUM(S94:S100)</f>
        <v>45115</v>
      </c>
      <c r="T93" s="32">
        <f>SUM(T94:T100)</f>
        <v>25229</v>
      </c>
      <c r="U93" s="32">
        <f>SUM(U94:U100)</f>
        <v>19886</v>
      </c>
      <c r="W93" s="32">
        <f>SUM(W94:W100)</f>
        <v>48639</v>
      </c>
      <c r="X93" s="32">
        <f>SUM(X94:X100)</f>
        <v>22906</v>
      </c>
      <c r="Y93" s="32">
        <f>SUM(Y94:Y100)</f>
        <v>25733</v>
      </c>
      <c r="AA93" s="32">
        <f>SUM(AA94:AA100)</f>
        <v>27341</v>
      </c>
      <c r="AB93" s="32">
        <f>SUM(AB94:AB100)</f>
        <v>16259</v>
      </c>
      <c r="AC93" s="32">
        <f>SUM(AC94:AC100)</f>
        <v>11082</v>
      </c>
      <c r="AE93" s="32">
        <f>SUM(AE94:AE100)</f>
        <v>35986</v>
      </c>
      <c r="AF93" s="32">
        <f>SUM(AF94:AF100)</f>
        <v>21746</v>
      </c>
      <c r="AG93" s="32">
        <f>SUM(AG94:AG100)</f>
        <v>14240</v>
      </c>
      <c r="AI93" s="32">
        <f>SUM(AI94:AI100)</f>
        <v>37952</v>
      </c>
      <c r="AJ93" s="32">
        <f>SUM(AJ94:AJ100)</f>
        <v>22148</v>
      </c>
      <c r="AK93" s="32">
        <f>SUM(AK94:AK100)</f>
        <v>15804</v>
      </c>
    </row>
    <row r="94" spans="1:37" s="28" customFormat="1" ht="15" customHeight="1">
      <c r="A94" s="9" t="s">
        <v>4</v>
      </c>
      <c r="B94" s="25"/>
      <c r="C94" s="34">
        <f aca="true" t="shared" si="45" ref="C94:C100">+D94+E94</f>
        <v>34519</v>
      </c>
      <c r="D94" s="37">
        <v>19385</v>
      </c>
      <c r="E94" s="37">
        <f>15124+10</f>
        <v>15134</v>
      </c>
      <c r="G94" s="34">
        <f aca="true" t="shared" si="46" ref="G94:G100">+H94+I94</f>
        <v>35813</v>
      </c>
      <c r="H94" s="37">
        <v>20208</v>
      </c>
      <c r="I94" s="37">
        <f>15600+5</f>
        <v>15605</v>
      </c>
      <c r="K94" s="34">
        <f aca="true" t="shared" si="47" ref="K94:K100">+L94+M94</f>
        <v>35233</v>
      </c>
      <c r="L94" s="37">
        <v>19988</v>
      </c>
      <c r="M94" s="37">
        <f>15236+9</f>
        <v>15245</v>
      </c>
      <c r="O94" s="34">
        <f aca="true" t="shared" si="48" ref="O94:O100">+P94+Q94</f>
        <v>32182</v>
      </c>
      <c r="P94" s="37">
        <v>16344</v>
      </c>
      <c r="Q94" s="37">
        <f>15837+1</f>
        <v>15838</v>
      </c>
      <c r="S94" s="34">
        <f aca="true" t="shared" si="49" ref="S94:S100">+T94+U94</f>
        <v>34176</v>
      </c>
      <c r="T94" s="37">
        <v>16832</v>
      </c>
      <c r="U94" s="37">
        <f>17343+1</f>
        <v>17344</v>
      </c>
      <c r="W94" s="34">
        <f aca="true" t="shared" si="50" ref="W94:W100">+X94+Y94</f>
        <v>36877</v>
      </c>
      <c r="X94" s="37">
        <v>16720</v>
      </c>
      <c r="Y94" s="37">
        <f>20140+17</f>
        <v>20157</v>
      </c>
      <c r="AA94" s="34">
        <f aca="true" t="shared" si="51" ref="AA94:AA100">+AB94+AC94</f>
        <v>20735</v>
      </c>
      <c r="AB94" s="37">
        <v>10561</v>
      </c>
      <c r="AC94" s="37">
        <f>10200-26</f>
        <v>10174</v>
      </c>
      <c r="AE94" s="34">
        <f aca="true" t="shared" si="52" ref="AE94:AE100">+AF94+AG94</f>
        <v>26013</v>
      </c>
      <c r="AF94" s="37">
        <v>13720</v>
      </c>
      <c r="AG94" s="37">
        <v>12293</v>
      </c>
      <c r="AI94" s="34">
        <f aca="true" t="shared" si="53" ref="AI94:AI100">+AJ94+AK94</f>
        <v>30730</v>
      </c>
      <c r="AJ94" s="37">
        <v>16748</v>
      </c>
      <c r="AK94" s="37">
        <f>13966+16</f>
        <v>13982</v>
      </c>
    </row>
    <row r="95" spans="1:37" s="24" customFormat="1" ht="15" customHeight="1">
      <c r="A95" s="9" t="s">
        <v>0</v>
      </c>
      <c r="B95" s="23"/>
      <c r="C95" s="34">
        <f t="shared" si="45"/>
        <v>1813</v>
      </c>
      <c r="D95" s="37">
        <v>1655</v>
      </c>
      <c r="E95" s="37">
        <f>157+1</f>
        <v>158</v>
      </c>
      <c r="G95" s="34">
        <f t="shared" si="46"/>
        <v>1800</v>
      </c>
      <c r="H95" s="37">
        <v>1643</v>
      </c>
      <c r="I95" s="37">
        <f>150+7</f>
        <v>157</v>
      </c>
      <c r="K95" s="34">
        <f t="shared" si="47"/>
        <v>1803</v>
      </c>
      <c r="L95" s="37">
        <v>1675</v>
      </c>
      <c r="M95" s="37">
        <v>128</v>
      </c>
      <c r="O95" s="34">
        <f t="shared" si="48"/>
        <v>1875</v>
      </c>
      <c r="P95" s="37">
        <v>1678</v>
      </c>
      <c r="Q95" s="37">
        <f>190+7</f>
        <v>197</v>
      </c>
      <c r="S95" s="34">
        <f t="shared" si="49"/>
        <v>1853</v>
      </c>
      <c r="T95" s="37">
        <v>1489</v>
      </c>
      <c r="U95" s="37">
        <v>364</v>
      </c>
      <c r="W95" s="34">
        <f t="shared" si="50"/>
        <v>5807</v>
      </c>
      <c r="X95" s="37">
        <v>1427</v>
      </c>
      <c r="Y95" s="37">
        <v>4380</v>
      </c>
      <c r="AA95" s="34">
        <f t="shared" si="51"/>
        <v>1694</v>
      </c>
      <c r="AB95" s="37">
        <v>1380</v>
      </c>
      <c r="AC95" s="37">
        <v>314</v>
      </c>
      <c r="AE95" s="34">
        <f t="shared" si="52"/>
        <v>1915</v>
      </c>
      <c r="AF95" s="28">
        <v>1269</v>
      </c>
      <c r="AG95" s="37">
        <v>646</v>
      </c>
      <c r="AI95" s="34">
        <f t="shared" si="53"/>
        <v>1808</v>
      </c>
      <c r="AJ95" s="28">
        <v>1410</v>
      </c>
      <c r="AK95" s="37">
        <v>398</v>
      </c>
    </row>
    <row r="96" spans="1:37" s="24" customFormat="1" ht="15" customHeight="1">
      <c r="A96" s="9" t="s">
        <v>9</v>
      </c>
      <c r="B96" s="23"/>
      <c r="C96" s="34">
        <f t="shared" si="45"/>
        <v>0</v>
      </c>
      <c r="D96" s="28">
        <v>0</v>
      </c>
      <c r="E96" s="28">
        <v>0</v>
      </c>
      <c r="G96" s="34">
        <f t="shared" si="46"/>
        <v>0</v>
      </c>
      <c r="H96" s="28">
        <v>0</v>
      </c>
      <c r="I96" s="28">
        <v>0</v>
      </c>
      <c r="K96" s="34">
        <f t="shared" si="47"/>
        <v>0</v>
      </c>
      <c r="L96" s="28">
        <v>0</v>
      </c>
      <c r="M96" s="28">
        <v>0</v>
      </c>
      <c r="O96" s="34">
        <f t="shared" si="48"/>
        <v>0</v>
      </c>
      <c r="P96" s="28">
        <v>0</v>
      </c>
      <c r="Q96" s="28">
        <v>0</v>
      </c>
      <c r="S96" s="34">
        <f t="shared" si="49"/>
        <v>0</v>
      </c>
      <c r="T96" s="28">
        <v>0</v>
      </c>
      <c r="U96" s="28">
        <v>0</v>
      </c>
      <c r="W96" s="34">
        <f t="shared" si="50"/>
        <v>0</v>
      </c>
      <c r="X96" s="28">
        <v>0</v>
      </c>
      <c r="Y96" s="28">
        <v>0</v>
      </c>
      <c r="AA96" s="34">
        <f t="shared" si="51"/>
        <v>1</v>
      </c>
      <c r="AB96" s="28">
        <v>1</v>
      </c>
      <c r="AC96" s="28">
        <v>0</v>
      </c>
      <c r="AE96" s="34">
        <f t="shared" si="52"/>
        <v>1</v>
      </c>
      <c r="AF96" s="37">
        <v>1</v>
      </c>
      <c r="AG96" s="28">
        <v>0</v>
      </c>
      <c r="AI96" s="34">
        <f t="shared" si="53"/>
        <v>1</v>
      </c>
      <c r="AJ96" s="37">
        <v>1</v>
      </c>
      <c r="AK96" s="28">
        <v>0</v>
      </c>
    </row>
    <row r="97" spans="1:37" s="24" customFormat="1" ht="15" customHeight="1">
      <c r="A97" s="9" t="s">
        <v>2</v>
      </c>
      <c r="B97" s="23"/>
      <c r="C97" s="34">
        <f t="shared" si="45"/>
        <v>8807</v>
      </c>
      <c r="D97" s="37">
        <v>6235</v>
      </c>
      <c r="E97" s="37">
        <f>2553+19</f>
        <v>2572</v>
      </c>
      <c r="G97" s="34">
        <f t="shared" si="46"/>
        <v>8280</v>
      </c>
      <c r="H97" s="37">
        <v>6065</v>
      </c>
      <c r="I97" s="37">
        <f>2215+0</f>
        <v>2215</v>
      </c>
      <c r="K97" s="34">
        <f t="shared" si="47"/>
        <v>7515</v>
      </c>
      <c r="L97" s="37">
        <v>5575</v>
      </c>
      <c r="M97" s="37">
        <v>1940</v>
      </c>
      <c r="O97" s="34">
        <f t="shared" si="48"/>
        <v>7259</v>
      </c>
      <c r="P97" s="37">
        <v>5635</v>
      </c>
      <c r="Q97" s="37">
        <v>1624</v>
      </c>
      <c r="S97" s="34">
        <f t="shared" si="49"/>
        <v>7669</v>
      </c>
      <c r="T97" s="37">
        <v>5699</v>
      </c>
      <c r="U97" s="37">
        <v>1970</v>
      </c>
      <c r="W97" s="34">
        <f t="shared" si="50"/>
        <v>4737</v>
      </c>
      <c r="X97" s="37">
        <v>3748</v>
      </c>
      <c r="Y97" s="37">
        <v>989</v>
      </c>
      <c r="AA97" s="34">
        <f t="shared" si="51"/>
        <v>3524</v>
      </c>
      <c r="AB97" s="37">
        <v>3139</v>
      </c>
      <c r="AC97" s="37">
        <v>385</v>
      </c>
      <c r="AE97" s="34">
        <f t="shared" si="52"/>
        <v>5786</v>
      </c>
      <c r="AF97" s="37">
        <v>5316</v>
      </c>
      <c r="AG97" s="37">
        <v>470</v>
      </c>
      <c r="AI97" s="34">
        <f t="shared" si="53"/>
        <v>2959</v>
      </c>
      <c r="AJ97" s="37">
        <v>2372</v>
      </c>
      <c r="AK97" s="37">
        <v>587</v>
      </c>
    </row>
    <row r="98" spans="1:37" s="24" customFormat="1" ht="15" customHeight="1">
      <c r="A98" s="9" t="s">
        <v>3</v>
      </c>
      <c r="B98" s="23"/>
      <c r="C98" s="34">
        <f t="shared" si="45"/>
        <v>383</v>
      </c>
      <c r="D98" s="37">
        <v>363</v>
      </c>
      <c r="E98" s="37">
        <f>20+0</f>
        <v>20</v>
      </c>
      <c r="G98" s="34">
        <f t="shared" si="46"/>
        <v>464</v>
      </c>
      <c r="H98" s="37">
        <v>433</v>
      </c>
      <c r="I98" s="37">
        <f>31+0</f>
        <v>31</v>
      </c>
      <c r="K98" s="34">
        <f t="shared" si="47"/>
        <v>430</v>
      </c>
      <c r="L98" s="37">
        <v>414</v>
      </c>
      <c r="M98" s="37">
        <v>16</v>
      </c>
      <c r="O98" s="34">
        <f t="shared" si="48"/>
        <v>110</v>
      </c>
      <c r="P98" s="37">
        <v>94</v>
      </c>
      <c r="Q98" s="37">
        <v>16</v>
      </c>
      <c r="S98" s="34">
        <f t="shared" si="49"/>
        <v>426</v>
      </c>
      <c r="T98" s="37">
        <v>411</v>
      </c>
      <c r="U98" s="37">
        <v>15</v>
      </c>
      <c r="W98" s="34">
        <f t="shared" si="50"/>
        <v>519</v>
      </c>
      <c r="X98" s="37">
        <v>510</v>
      </c>
      <c r="Y98" s="37">
        <v>9</v>
      </c>
      <c r="AA98" s="34">
        <f t="shared" si="51"/>
        <v>673</v>
      </c>
      <c r="AB98" s="37">
        <v>640</v>
      </c>
      <c r="AC98" s="37">
        <v>33</v>
      </c>
      <c r="AE98" s="34">
        <f t="shared" si="52"/>
        <v>976</v>
      </c>
      <c r="AF98" s="37">
        <v>866</v>
      </c>
      <c r="AG98" s="37">
        <v>110</v>
      </c>
      <c r="AI98" s="34">
        <f t="shared" si="53"/>
        <v>1043</v>
      </c>
      <c r="AJ98" s="37">
        <v>975</v>
      </c>
      <c r="AK98" s="37">
        <v>68</v>
      </c>
    </row>
    <row r="99" spans="1:37" s="24" customFormat="1" ht="15" customHeight="1">
      <c r="A99" s="9" t="s">
        <v>1</v>
      </c>
      <c r="B99" s="23"/>
      <c r="C99" s="34">
        <f t="shared" si="45"/>
        <v>794</v>
      </c>
      <c r="D99" s="37">
        <v>620</v>
      </c>
      <c r="E99" s="37">
        <f>174+0</f>
        <v>174</v>
      </c>
      <c r="G99" s="34">
        <f t="shared" si="46"/>
        <v>788</v>
      </c>
      <c r="H99" s="37">
        <v>634</v>
      </c>
      <c r="I99" s="37">
        <f>154+0</f>
        <v>154</v>
      </c>
      <c r="K99" s="34">
        <f t="shared" si="47"/>
        <v>1451</v>
      </c>
      <c r="L99" s="37">
        <v>803</v>
      </c>
      <c r="M99" s="37">
        <v>648</v>
      </c>
      <c r="O99" s="34">
        <f t="shared" si="48"/>
        <v>952</v>
      </c>
      <c r="P99" s="37">
        <v>785</v>
      </c>
      <c r="Q99" s="37">
        <v>167</v>
      </c>
      <c r="S99" s="34">
        <f t="shared" si="49"/>
        <v>978</v>
      </c>
      <c r="T99" s="37">
        <v>798</v>
      </c>
      <c r="U99" s="37">
        <v>180</v>
      </c>
      <c r="W99" s="34">
        <f t="shared" si="50"/>
        <v>660</v>
      </c>
      <c r="X99" s="37">
        <v>488</v>
      </c>
      <c r="Y99" s="37">
        <v>172</v>
      </c>
      <c r="AA99" s="34">
        <f t="shared" si="51"/>
        <v>701</v>
      </c>
      <c r="AB99" s="37">
        <v>538</v>
      </c>
      <c r="AC99" s="37">
        <v>163</v>
      </c>
      <c r="AE99" s="34">
        <f t="shared" si="52"/>
        <v>1274</v>
      </c>
      <c r="AF99" s="37">
        <v>574</v>
      </c>
      <c r="AG99" s="37">
        <v>700</v>
      </c>
      <c r="AI99" s="34">
        <f t="shared" si="53"/>
        <v>1397</v>
      </c>
      <c r="AJ99" s="37">
        <v>642</v>
      </c>
      <c r="AK99" s="37">
        <v>755</v>
      </c>
    </row>
    <row r="100" spans="1:37" s="24" customFormat="1" ht="15" customHeight="1">
      <c r="A100" s="9" t="s">
        <v>19</v>
      </c>
      <c r="B100" s="23"/>
      <c r="C100" s="34">
        <f t="shared" si="45"/>
        <v>13</v>
      </c>
      <c r="D100" s="28">
        <v>0</v>
      </c>
      <c r="E100" s="37">
        <f>0+13</f>
        <v>13</v>
      </c>
      <c r="G100" s="34">
        <f t="shared" si="46"/>
        <v>23</v>
      </c>
      <c r="H100" s="28">
        <v>0</v>
      </c>
      <c r="I100" s="37">
        <f>0+23</f>
        <v>23</v>
      </c>
      <c r="K100" s="34">
        <f t="shared" si="47"/>
        <v>13</v>
      </c>
      <c r="L100" s="28">
        <v>0</v>
      </c>
      <c r="M100" s="37">
        <v>13</v>
      </c>
      <c r="O100" s="34">
        <f t="shared" si="48"/>
        <v>23</v>
      </c>
      <c r="P100" s="28">
        <v>0</v>
      </c>
      <c r="Q100" s="37">
        <v>23</v>
      </c>
      <c r="S100" s="34">
        <f t="shared" si="49"/>
        <v>13</v>
      </c>
      <c r="T100" s="28">
        <v>0</v>
      </c>
      <c r="U100" s="37">
        <v>13</v>
      </c>
      <c r="W100" s="34">
        <f t="shared" si="50"/>
        <v>39</v>
      </c>
      <c r="X100" s="28">
        <v>13</v>
      </c>
      <c r="Y100" s="37">
        <f>3+23</f>
        <v>26</v>
      </c>
      <c r="AA100" s="34">
        <f t="shared" si="51"/>
        <v>13</v>
      </c>
      <c r="AB100" s="28">
        <v>0</v>
      </c>
      <c r="AC100" s="37">
        <f>2+11</f>
        <v>13</v>
      </c>
      <c r="AE100" s="34">
        <f t="shared" si="52"/>
        <v>21</v>
      </c>
      <c r="AF100" s="28">
        <v>0</v>
      </c>
      <c r="AG100" s="37">
        <f>3+18</f>
        <v>21</v>
      </c>
      <c r="AI100" s="34">
        <f t="shared" si="53"/>
        <v>14</v>
      </c>
      <c r="AJ100" s="28">
        <v>0</v>
      </c>
      <c r="AK100" s="37">
        <f>3+11</f>
        <v>14</v>
      </c>
    </row>
    <row r="101" ht="15" customHeight="1">
      <c r="B101" s="21"/>
    </row>
    <row r="102" ht="15" customHeight="1">
      <c r="A102" s="13" t="s">
        <v>14</v>
      </c>
    </row>
    <row r="103" spans="1:7" s="30" customFormat="1" ht="15" customHeight="1">
      <c r="A103" s="15" t="s">
        <v>15</v>
      </c>
      <c r="G103" s="3"/>
    </row>
    <row r="104" spans="1:7" s="30" customFormat="1" ht="15" customHeight="1">
      <c r="A104" s="16" t="s">
        <v>16</v>
      </c>
      <c r="G104" s="3"/>
    </row>
    <row r="105" ht="15" customHeight="1">
      <c r="A105" s="16" t="s">
        <v>67</v>
      </c>
    </row>
    <row r="106" ht="15" customHeight="1">
      <c r="A106" s="15" t="s">
        <v>77</v>
      </c>
    </row>
    <row r="107" ht="15" customHeight="1">
      <c r="A107" s="15"/>
    </row>
    <row r="108" ht="15" customHeight="1">
      <c r="A108" s="3" t="s">
        <v>87</v>
      </c>
    </row>
  </sheetData>
  <sheetProtection password="E0DE" sheet="1"/>
  <mergeCells count="20">
    <mergeCell ref="G6:I6"/>
    <mergeCell ref="G55:I55"/>
    <mergeCell ref="AI6:AK6"/>
    <mergeCell ref="AI55:AK55"/>
    <mergeCell ref="B3:AK3"/>
    <mergeCell ref="B4:AK4"/>
    <mergeCell ref="AA6:AC6"/>
    <mergeCell ref="AA55:AC55"/>
    <mergeCell ref="S6:U6"/>
    <mergeCell ref="S55:U55"/>
    <mergeCell ref="K6:M6"/>
    <mergeCell ref="K55:M55"/>
    <mergeCell ref="C6:E6"/>
    <mergeCell ref="C55:E55"/>
    <mergeCell ref="AE6:AG6"/>
    <mergeCell ref="AE55:AG55"/>
    <mergeCell ref="W6:Y6"/>
    <mergeCell ref="W55:Y55"/>
    <mergeCell ref="O6:Q6"/>
    <mergeCell ref="O55:Q5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Janique Samson</dc:creator>
  <cp:keywords/>
  <dc:description/>
  <cp:lastModifiedBy>Forbes, David</cp:lastModifiedBy>
  <cp:lastPrinted>2020-04-08T18:14:32Z</cp:lastPrinted>
  <dcterms:created xsi:type="dcterms:W3CDTF">2009-02-01T16:19:12Z</dcterms:created>
  <dcterms:modified xsi:type="dcterms:W3CDTF">2023-08-28T17:45:09Z</dcterms:modified>
  <cp:category/>
  <cp:version/>
  <cp:contentType/>
  <cp:contentStatus/>
</cp:coreProperties>
</file>